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tyler_garber_dfw_wa_gov/Documents/Desktop/"/>
    </mc:Choice>
  </mc:AlternateContent>
  <xr:revisionPtr revIDLastSave="279" documentId="8_{EB55F226-33FF-4197-801A-2D28362E39AF}" xr6:coauthVersionLast="47" xr6:coauthVersionMax="47" xr10:uidLastSave="{DC20905E-6B7A-4D27-95C7-6A922ECECE1E}"/>
  <bookViews>
    <workbookView xWindow="-120" yWindow="-120" windowWidth="29040" windowHeight="15840" xr2:uid="{00000000-000D-0000-FFFF-FFFF00000000}"/>
  </bookViews>
  <sheets>
    <sheet name="Proposal" sheetId="2" r:id="rId1"/>
    <sheet name="Inputs" sheetId="3" r:id="rId2"/>
    <sheet name="Runs" sheetId="1" r:id="rId3"/>
  </sheets>
  <externalReferences>
    <externalReference r:id="rId4"/>
  </externalReferences>
  <definedNames>
    <definedName name="ERSUSHC">'[1]4'!$F$30</definedName>
    <definedName name="ERSUSJDF">'[1]4'!$G$30</definedName>
    <definedName name="ERSUSSK">'[1]4'!$C$30</definedName>
    <definedName name="ERSUSSN">'[1]4'!$E$30</definedName>
    <definedName name="ERSUSST">'[1]4'!$D$30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6" i="3" l="1"/>
  <c r="G27" i="3"/>
  <c r="C18" i="2"/>
  <c r="G28" i="3"/>
  <c r="I20" i="2"/>
  <c r="I43" i="2"/>
  <c r="H43" i="2"/>
  <c r="G43" i="2"/>
  <c r="F43" i="2"/>
  <c r="E43" i="2"/>
  <c r="D43" i="2"/>
  <c r="D39" i="2"/>
  <c r="E39" i="2"/>
  <c r="F39" i="2"/>
  <c r="G39" i="2"/>
  <c r="H39" i="2"/>
  <c r="I39" i="2"/>
  <c r="D40" i="2"/>
  <c r="E40" i="2"/>
  <c r="F40" i="2"/>
  <c r="G40" i="2"/>
  <c r="H40" i="2"/>
  <c r="I40" i="2"/>
  <c r="D41" i="2"/>
  <c r="E41" i="2"/>
  <c r="F41" i="2"/>
  <c r="G41" i="2"/>
  <c r="H41" i="2"/>
  <c r="I41" i="2"/>
  <c r="F38" i="2"/>
  <c r="D38" i="2"/>
  <c r="I38" i="2"/>
  <c r="H38" i="2"/>
  <c r="G38" i="2"/>
  <c r="E38" i="2"/>
  <c r="D31" i="2"/>
  <c r="E31" i="2"/>
  <c r="F31" i="2"/>
  <c r="G31" i="2"/>
  <c r="H31" i="2"/>
  <c r="I31" i="2"/>
  <c r="D32" i="2"/>
  <c r="E32" i="2"/>
  <c r="F32" i="2"/>
  <c r="G32" i="2"/>
  <c r="H32" i="2"/>
  <c r="I32" i="2"/>
  <c r="D33" i="2"/>
  <c r="E33" i="2"/>
  <c r="F33" i="2"/>
  <c r="G33" i="2"/>
  <c r="H33" i="2"/>
  <c r="I33" i="2"/>
  <c r="D34" i="2"/>
  <c r="E34" i="2"/>
  <c r="F34" i="2"/>
  <c r="G34" i="2"/>
  <c r="H34" i="2"/>
  <c r="I34" i="2"/>
  <c r="D35" i="2"/>
  <c r="E35" i="2"/>
  <c r="F35" i="2"/>
  <c r="G35" i="2"/>
  <c r="H35" i="2"/>
  <c r="I35" i="2"/>
  <c r="I30" i="2"/>
  <c r="H30" i="2"/>
  <c r="G30" i="2"/>
  <c r="F30" i="2"/>
  <c r="E30" i="2"/>
  <c r="D30" i="2"/>
  <c r="I27" i="2"/>
  <c r="H27" i="2"/>
  <c r="G27" i="2"/>
  <c r="F27" i="2"/>
  <c r="E27" i="2"/>
  <c r="D27" i="2"/>
  <c r="I21" i="2"/>
  <c r="D22" i="2"/>
  <c r="E22" i="2"/>
  <c r="F22" i="2"/>
  <c r="G22" i="2"/>
  <c r="H22" i="2"/>
  <c r="I22" i="2"/>
  <c r="D23" i="2"/>
  <c r="E23" i="2"/>
  <c r="F23" i="2"/>
  <c r="G23" i="2"/>
  <c r="H23" i="2"/>
  <c r="I23" i="2"/>
  <c r="D24" i="2"/>
  <c r="E24" i="2"/>
  <c r="F24" i="2"/>
  <c r="G24" i="2"/>
  <c r="H24" i="2"/>
  <c r="I24" i="2"/>
  <c r="H20" i="2"/>
  <c r="G20" i="2"/>
  <c r="F20" i="2"/>
  <c r="E20" i="2"/>
  <c r="D20" i="2"/>
  <c r="D15" i="2"/>
  <c r="E15" i="2"/>
  <c r="F15" i="2"/>
  <c r="G15" i="2"/>
  <c r="H15" i="2"/>
  <c r="I15" i="2"/>
  <c r="D16" i="2"/>
  <c r="E16" i="2"/>
  <c r="F16" i="2"/>
  <c r="G16" i="2"/>
  <c r="H16" i="2"/>
  <c r="I16" i="2"/>
  <c r="D17" i="2"/>
  <c r="E17" i="2"/>
  <c r="F17" i="2"/>
  <c r="G17" i="2"/>
  <c r="H17" i="2"/>
  <c r="I17" i="2"/>
  <c r="I14" i="2"/>
  <c r="H14" i="2"/>
  <c r="G14" i="2"/>
  <c r="F14" i="2"/>
  <c r="E14" i="2"/>
  <c r="D14" i="2"/>
  <c r="D9" i="2"/>
  <c r="E9" i="2"/>
  <c r="F9" i="2"/>
  <c r="G9" i="2"/>
  <c r="H9" i="2"/>
  <c r="I9" i="2"/>
  <c r="D10" i="2"/>
  <c r="E10" i="2"/>
  <c r="F10" i="2"/>
  <c r="G10" i="2"/>
  <c r="H10" i="2"/>
  <c r="I10" i="2"/>
  <c r="D11" i="2"/>
  <c r="E11" i="2"/>
  <c r="F11" i="2"/>
  <c r="G11" i="2"/>
  <c r="H11" i="2"/>
  <c r="I11" i="2"/>
  <c r="I8" i="2"/>
  <c r="E8" i="2"/>
  <c r="F8" i="2"/>
  <c r="G8" i="2"/>
  <c r="H8" i="2"/>
  <c r="D8" i="2"/>
  <c r="F26" i="1"/>
  <c r="H21" i="2" s="1"/>
  <c r="E26" i="1"/>
  <c r="G21" i="2" s="1"/>
  <c r="D26" i="1"/>
  <c r="F21" i="2" s="1"/>
  <c r="C26" i="1"/>
  <c r="E21" i="2" s="1"/>
  <c r="B26" i="1"/>
  <c r="D21" i="2" s="1"/>
  <c r="F27" i="3"/>
  <c r="G25" i="3"/>
  <c r="D25" i="2" l="1"/>
  <c r="E25" i="2"/>
  <c r="F25" i="2"/>
  <c r="G25" i="2"/>
  <c r="H25" i="2"/>
  <c r="I25" i="2"/>
  <c r="D18" i="2"/>
  <c r="E18" i="2"/>
  <c r="F18" i="2"/>
  <c r="G18" i="2"/>
  <c r="H18" i="2"/>
  <c r="I18" i="2"/>
  <c r="G45" i="3"/>
  <c r="G43" i="3"/>
  <c r="G41" i="3"/>
  <c r="G39" i="3"/>
  <c r="G37" i="3"/>
  <c r="G29" i="3"/>
  <c r="G24" i="3"/>
  <c r="G21" i="3"/>
  <c r="G20" i="3"/>
  <c r="G18" i="3"/>
  <c r="G17" i="3"/>
  <c r="C44" i="2"/>
  <c r="C36" i="2" l="1"/>
  <c r="C25" i="2"/>
  <c r="C12" i="2"/>
  <c r="G45" i="2" l="1"/>
  <c r="G5" i="2" s="1"/>
  <c r="I45" i="2"/>
  <c r="E45" i="2"/>
  <c r="E5" i="2" s="1"/>
  <c r="F45" i="2"/>
  <c r="F5" i="2" s="1"/>
  <c r="D45" i="2"/>
  <c r="D5" i="2" s="1"/>
  <c r="H45" i="2"/>
  <c r="H5" i="2" s="1"/>
  <c r="I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Angelika</author>
    <author>tc={86A7B2E7-FD0D-47B8-A525-6685761FE881}</author>
    <author>tc={4BF4F3BE-FF2A-4DF9-8291-BE34D8ACECF5}</author>
    <author>tc={37CEF655-2722-42E6-B980-8A91E91EF63F}</author>
    <author>Garber, Tyler J (DFW)</author>
    <author>tc={E5CFEC5F-D135-4CB5-B703-C4B54AC20F74}</author>
  </authors>
  <commentList>
    <comment ref="G18" authorId="0" shapeId="0" xr:uid="{C3D2A824-01E5-4D31-8E11-3B2E09F5E442}">
      <text>
        <r>
          <rPr>
            <b/>
            <sz val="9"/>
            <color indexed="81"/>
            <rFont val="Tahoma"/>
            <family val="2"/>
          </rPr>
          <t>Angelika:</t>
        </r>
        <r>
          <rPr>
            <sz val="9"/>
            <color indexed="81"/>
            <rFont val="Tahoma"/>
            <family val="2"/>
          </rPr>
          <t xml:space="preserve">
uses MSF landed for WE from sporty divided by mark rate from sampling times effort increase going from MSF to NS. Increase was calculated using area 5 angler/day increases when regs changed from MSF to NS in September.
</t>
        </r>
      </text>
    </comment>
    <comment ref="F24" authorId="1" shapeId="0" xr:uid="{86A7B2E7-FD0D-47B8-A525-6685761FE881}">
      <text>
        <t>[Threaded comment]
Your version of Excel allows you to read this threaded comment; however, any edits to it will get removed if the file is opened in a newer version of Excel. Learn more: https://go.microsoft.com/fwlink/?linkid=870924
Comment:
    sport tool 2018, 2020 ns 10wd 6we
Reply:
    No adjustment for bag limit change. Analyis shows nearly the same for 2 or 1 fish limit ~.98</t>
      </text>
    </comment>
    <comment ref="G24" authorId="2" shapeId="0" xr:uid="{4BF4F3BE-FF2A-4DF9-8291-BE34D8ACECF5}">
      <text>
        <t>[Threaded comment]
Your version of Excel allows you to read this threaded comment; however, any edits to it will get removed if the file is opened in a newer version of Excel. Learn more: https://go.microsoft.com/fwlink/?linkid=870924
Comment:
    18-20 sport tool, 15 wd 15 we
Reply:
    multiplied by .66 to account for 1 fish bag limit. see A7 Bag Sept 2019 NS sheet</t>
      </text>
    </comment>
    <comment ref="G25" authorId="3" shapeId="0" xr:uid="{37CEF655-2722-42E6-B980-8A91E91EF63F}">
      <text>
        <t>[Threaded comment]
Your version of Excel allows you to read this threaded comment; however, any edits to it will get removed if the file is opened in a newer version of Excel. Learn more: https://go.microsoft.com/fwlink/?linkid=870924
Comment:
    18-20 sport tool, 15 wd 15 we</t>
      </text>
    </comment>
    <comment ref="F28" authorId="4" shapeId="0" xr:uid="{DBD46AC7-2CFF-4EDB-A5A0-97A086ABD233}">
      <text>
        <r>
          <rPr>
            <b/>
            <sz val="9"/>
            <color indexed="81"/>
            <rFont val="Tahoma"/>
            <family val="2"/>
          </rPr>
          <t>Garber, Tyler J (DFW):</t>
        </r>
        <r>
          <rPr>
            <sz val="9"/>
            <color indexed="81"/>
            <rFont val="Tahoma"/>
            <family val="2"/>
          </rPr>
          <t xml:space="preserve">
19 WD, 12 WE sport tool NS No bag adjustment
</t>
        </r>
      </text>
    </comment>
    <comment ref="G28" authorId="4" shapeId="0" xr:uid="{FCE62CB6-2940-42BD-AB94-5AED1F003BC8}">
      <text>
        <r>
          <rPr>
            <b/>
            <sz val="9"/>
            <color indexed="81"/>
            <rFont val="Tahoma"/>
            <family val="2"/>
          </rPr>
          <t>Garber, Tyler J (DFW):</t>
        </r>
        <r>
          <rPr>
            <sz val="9"/>
            <color indexed="81"/>
            <rFont val="Tahoma"/>
            <family val="2"/>
          </rPr>
          <t xml:space="preserve">
2018:2020 NS 7WD 10 WE bag adjustment</t>
        </r>
      </text>
    </comment>
    <comment ref="G29" authorId="4" shapeId="0" xr:uid="{7D6405A2-2CB9-478B-977A-A51B70940134}">
      <text>
        <r>
          <rPr>
            <b/>
            <sz val="9"/>
            <color indexed="81"/>
            <rFont val="Tahoma"/>
            <family val="2"/>
          </rPr>
          <t>Garber, Tyler J (DFW):</t>
        </r>
        <r>
          <rPr>
            <sz val="9"/>
            <color indexed="81"/>
            <rFont val="Tahoma"/>
            <family val="2"/>
          </rPr>
          <t xml:space="preserve">
2018:2020 NS 11WD 13 WE bag adjustment</t>
        </r>
      </text>
    </comment>
    <comment ref="F37" authorId="4" shapeId="0" xr:uid="{97B8CCED-09C0-4A3F-8883-CEC8794FECFA}">
      <text>
        <r>
          <rPr>
            <b/>
            <sz val="9"/>
            <color indexed="81"/>
            <rFont val="Tahoma"/>
            <family val="2"/>
          </rPr>
          <t>Garber, Tyler J (DFW):</t>
        </r>
        <r>
          <rPr>
            <sz val="9"/>
            <color indexed="81"/>
            <rFont val="Tahoma"/>
            <family val="2"/>
          </rPr>
          <t xml:space="preserve">
2021, 2022 NS 8WD 6WE
No adjustment for bag limit &gt; .97</t>
        </r>
      </text>
    </comment>
    <comment ref="G37" authorId="4" shapeId="0" xr:uid="{0E5055D3-D2C1-4A34-83E1-90E73C72B527}">
      <text>
        <r>
          <rPr>
            <b/>
            <sz val="9"/>
            <color indexed="81"/>
            <rFont val="Tahoma"/>
            <family val="2"/>
          </rPr>
          <t>Garber, Tyler J (DFW):</t>
        </r>
        <r>
          <rPr>
            <sz val="9"/>
            <color indexed="81"/>
            <rFont val="Tahoma"/>
            <family val="2"/>
          </rPr>
          <t xml:space="preserve">
2011:2015, 2018. NS, 11WD 10WE
.82 reduction applied w/ bag limit change see A82 Sept Bag</t>
        </r>
      </text>
    </comment>
    <comment ref="F39" authorId="4" shapeId="0" xr:uid="{9108E69E-37BC-4F2E-ACE1-4A4F0830DAA2}">
      <text>
        <r>
          <rPr>
            <b/>
            <sz val="9"/>
            <color indexed="81"/>
            <rFont val="Tahoma"/>
            <family val="2"/>
          </rPr>
          <t>Garber, Tyler J (DFW):</t>
        </r>
        <r>
          <rPr>
            <sz val="9"/>
            <color indexed="81"/>
            <rFont val="Tahoma"/>
            <family val="2"/>
          </rPr>
          <t xml:space="preserve">
2021, 2022 NS 8WD 6WE
No adjustment for bag limit &gt; .97</t>
        </r>
      </text>
    </comment>
    <comment ref="G39" authorId="4" shapeId="0" xr:uid="{4C4C1A40-BE4E-4407-9B7E-4E2A323BE0BA}">
      <text>
        <r>
          <rPr>
            <b/>
            <sz val="9"/>
            <color indexed="81"/>
            <rFont val="Tahoma"/>
            <family val="2"/>
          </rPr>
          <t>Garber, Tyler J (DFW):</t>
        </r>
        <r>
          <rPr>
            <sz val="9"/>
            <color indexed="81"/>
            <rFont val="Tahoma"/>
            <family val="2"/>
          </rPr>
          <t xml:space="preserve">
2011:2015, 2018. NS, 7WD 10WE
.82 reduction applied w/ bag limit change see A82 Sept Bag</t>
        </r>
      </text>
    </comment>
    <comment ref="F41" authorId="4" shapeId="0" xr:uid="{E2B0C85B-7658-4D03-862E-2651A515005B}">
      <text>
        <r>
          <rPr>
            <b/>
            <sz val="9"/>
            <color indexed="81"/>
            <rFont val="Tahoma"/>
            <family val="2"/>
          </rPr>
          <t>Garber, Tyler J (DFW):</t>
        </r>
        <r>
          <rPr>
            <sz val="9"/>
            <color indexed="81"/>
            <rFont val="Tahoma"/>
            <family val="2"/>
          </rPr>
          <t xml:space="preserve">
2021, 2022 NS 8WD 6WE
No adjustment for bag limit &gt; .97</t>
        </r>
      </text>
    </comment>
    <comment ref="G41" authorId="4" shapeId="0" xr:uid="{3F188F1F-0057-45A1-B4CF-7225AABBD23C}">
      <text>
        <r>
          <rPr>
            <b/>
            <sz val="9"/>
            <color indexed="81"/>
            <rFont val="Tahoma"/>
            <family val="2"/>
          </rPr>
          <t>Garber, Tyler J (DFW):</t>
        </r>
        <r>
          <rPr>
            <sz val="9"/>
            <color indexed="81"/>
            <rFont val="Tahoma"/>
            <family val="2"/>
          </rPr>
          <t xml:space="preserve">
2011:2015, 2018. NS, 7WD 10WE
.82 reduction applied w/ bag limit change see A82 Sept Bag</t>
        </r>
      </text>
    </comment>
    <comment ref="F43" authorId="4" shapeId="0" xr:uid="{044089D1-3998-4360-8CBD-B65D193723B8}">
      <text>
        <r>
          <rPr>
            <b/>
            <sz val="9"/>
            <color indexed="81"/>
            <rFont val="Tahoma"/>
            <family val="2"/>
          </rPr>
          <t>Garber, Tyler J (DFW):</t>
        </r>
        <r>
          <rPr>
            <sz val="9"/>
            <color indexed="81"/>
            <rFont val="Tahoma"/>
            <family val="2"/>
          </rPr>
          <t xml:space="preserve">
2012:2015, 2018. NS. 19 WD, 12 WE
No adjustment for bag limit &gt; .97</t>
        </r>
      </text>
    </comment>
    <comment ref="G43" authorId="4" shapeId="0" xr:uid="{614DFF50-6729-49AD-A9B3-829634E9E5A2}">
      <text>
        <r>
          <rPr>
            <b/>
            <sz val="9"/>
            <color indexed="81"/>
            <rFont val="Tahoma"/>
            <family val="2"/>
          </rPr>
          <t>Garber, Tyler J (DFW):</t>
        </r>
        <r>
          <rPr>
            <sz val="9"/>
            <color indexed="81"/>
            <rFont val="Tahoma"/>
            <family val="2"/>
          </rPr>
          <t xml:space="preserve">
2011:2015, 2018. NS, 7WD 10WE
.82 reduction applied w/ bag limit change see A82 Sept Bag</t>
        </r>
      </text>
    </comment>
    <comment ref="F45" authorId="4" shapeId="0" xr:uid="{9FE9F894-865E-493D-965B-B975755FC5C6}">
      <text>
        <r>
          <rPr>
            <b/>
            <sz val="9"/>
            <color indexed="81"/>
            <rFont val="Tahoma"/>
            <family val="2"/>
          </rPr>
          <t>Garber, Tyler J (DFW):</t>
        </r>
        <r>
          <rPr>
            <sz val="9"/>
            <color indexed="81"/>
            <rFont val="Tahoma"/>
            <family val="2"/>
          </rPr>
          <t xml:space="preserve">
12 WD 9WE 2011:2015, 2018. NS.</t>
        </r>
      </text>
    </comment>
    <comment ref="G45" authorId="4" shapeId="0" xr:uid="{1772E545-5951-4AF7-8163-4E2C79300826}">
      <text>
        <r>
          <rPr>
            <b/>
            <sz val="9"/>
            <color indexed="81"/>
            <rFont val="Tahoma"/>
            <family val="2"/>
          </rPr>
          <t>Garber, Tyler J (DFW):</t>
        </r>
        <r>
          <rPr>
            <sz val="9"/>
            <color indexed="81"/>
            <rFont val="Tahoma"/>
            <family val="2"/>
          </rPr>
          <t xml:space="preserve">
2011:2015, 2018. NS, 7WD 10WE
.82 reduction applied w/ bag limit change see A82 Sept Bag</t>
        </r>
      </text>
    </comment>
    <comment ref="F46" authorId="4" shapeId="0" xr:uid="{6444976F-900D-430C-AC99-AA7A2A791B4B}">
      <text>
        <r>
          <rPr>
            <b/>
            <sz val="9"/>
            <color indexed="81"/>
            <rFont val="Tahoma"/>
            <family val="2"/>
          </rPr>
          <t>Garber, Tyler J (DFW):</t>
        </r>
        <r>
          <rPr>
            <sz val="9"/>
            <color indexed="81"/>
            <rFont val="Tahoma"/>
            <family val="2"/>
          </rPr>
          <t xml:space="preserve">
12 WD 9WE 2011:2015, 2018. NS.</t>
        </r>
      </text>
    </comment>
    <comment ref="G46" authorId="4" shapeId="0" xr:uid="{2BDA3221-D6D4-4D64-B9CC-3F982A069002}">
      <text>
        <r>
          <rPr>
            <b/>
            <sz val="9"/>
            <color indexed="81"/>
            <rFont val="Tahoma"/>
            <family val="2"/>
          </rPr>
          <t>Garber, Tyler J (DFW):</t>
        </r>
        <r>
          <rPr>
            <sz val="9"/>
            <color indexed="81"/>
            <rFont val="Tahoma"/>
            <family val="2"/>
          </rPr>
          <t xml:space="preserve">
2011:2015, 2018 NS 15WE 15WD</t>
        </r>
      </text>
    </comment>
    <comment ref="I50" authorId="5" shapeId="0" xr:uid="{E5CFEC5F-D135-4CB5-B703-C4B54AC20F74}">
      <text>
        <t>[Threaded comment]
Your version of Excel allows you to read this threaded comment; however, any edits to it will get removed if the file is opened in a newer version of Excel. Learn more: https://go.microsoft.com/fwlink/?linkid=870924
Comment:
    2010:2015 NS 8WD 5 WE</t>
      </text>
    </comment>
    <comment ref="I53" authorId="4" shapeId="0" xr:uid="{B8780140-391D-4E14-AA97-7E01024C974C}">
      <text>
        <r>
          <rPr>
            <b/>
            <sz val="9"/>
            <color indexed="81"/>
            <rFont val="Tahoma"/>
            <family val="2"/>
          </rPr>
          <t>Garber, Tyler J (DFW):</t>
        </r>
        <r>
          <rPr>
            <sz val="9"/>
            <color indexed="81"/>
            <rFont val="Tahoma"/>
            <family val="2"/>
          </rPr>
          <t xml:space="preserve">
2017:2022 MSF 11WD 10WD</t>
        </r>
      </text>
    </comment>
    <comment ref="I54" authorId="4" shapeId="0" xr:uid="{3B02FB1D-E357-4991-92EF-3723747BED3A}">
      <text>
        <r>
          <rPr>
            <b/>
            <sz val="9"/>
            <color indexed="81"/>
            <rFont val="Tahoma"/>
            <family val="2"/>
          </rPr>
          <t>Garber, Tyler J (DFW):</t>
        </r>
        <r>
          <rPr>
            <sz val="9"/>
            <color indexed="81"/>
            <rFont val="Tahoma"/>
            <family val="2"/>
          </rPr>
          <t xml:space="preserve">
2010:2015 NS 4WD 5WE</t>
        </r>
      </text>
    </comment>
    <comment ref="J56" authorId="4" shapeId="0" xr:uid="{F6B0ECDB-917A-4E34-A8A6-E690E853DC42}">
      <text>
        <r>
          <rPr>
            <b/>
            <sz val="9"/>
            <color indexed="81"/>
            <rFont val="Tahoma"/>
            <family val="2"/>
          </rPr>
          <t>Garber, Tyler J (DFW):</t>
        </r>
        <r>
          <rPr>
            <sz val="9"/>
            <color indexed="81"/>
            <rFont val="Tahoma"/>
            <family val="2"/>
          </rPr>
          <t xml:space="preserve">
Most recent 6 years NS. 2010:2015, 4WD 4WE. .83 bag adjustment</t>
        </r>
      </text>
    </comment>
  </commentList>
</comments>
</file>

<file path=xl/sharedStrings.xml><?xml version="1.0" encoding="utf-8"?>
<sst xmlns="http://schemas.openxmlformats.org/spreadsheetml/2006/main" count="276" uniqueCount="109">
  <si>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</si>
  <si>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</si>
  <si>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</si>
  <si>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</si>
  <si>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</si>
  <si>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</si>
  <si>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</si>
  <si>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</si>
  <si>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</si>
  <si>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</si>
  <si>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</si>
  <si>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</si>
  <si>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</si>
  <si>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</si>
  <si>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</si>
  <si>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</si>
  <si>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</si>
  <si>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T</t>
  </si>
  <si>
    <t>Thompson</t>
  </si>
  <si>
    <t>Skagit Wild</t>
  </si>
  <si>
    <t>Stilly Wild</t>
  </si>
  <si>
    <t>Snoho Wild</t>
  </si>
  <si>
    <t>Hood Canal Wild</t>
  </si>
  <si>
    <t>JDF Wild</t>
  </si>
  <si>
    <t>Coho MSF July1-Sept 30</t>
  </si>
  <si>
    <t>Coho MSF July1-Sept 17 + 6 WE NS</t>
  </si>
  <si>
    <t>Coho MSF July 1-Sept 17 + 6WE &amp; 1WD NS</t>
  </si>
  <si>
    <t>Coho MSF July 1 - Sept 17 + 6WE 2WD NS</t>
  </si>
  <si>
    <t>Coho MSF July 1-Sept 30</t>
  </si>
  <si>
    <t>Coho NS Aug 16-Sept 30 (2 fish, 1 coho)</t>
  </si>
  <si>
    <t>Area 5</t>
  </si>
  <si>
    <t>Area 6</t>
  </si>
  <si>
    <t>Area 7</t>
  </si>
  <si>
    <t>Area 8-1</t>
  </si>
  <si>
    <t>Coho NS Aug 1-Sept 30</t>
  </si>
  <si>
    <t>Area 8-2</t>
  </si>
  <si>
    <t>Aug 18-31 and Sept 1-21 16 WE 19 WD NS Coho 2 salmon 1 coho</t>
  </si>
  <si>
    <t>Aug 18-31 and Sept 1-17 16 WE 15 WD NS Coho 2 salmon 1 coho</t>
  </si>
  <si>
    <t>Aug 18-31 and Sept 1-30 21 WE 23 WD NS Coho 2 salmon 1 coho</t>
  </si>
  <si>
    <t>Aug 1-31 and Sept 1-30 21 WE 23 WD NS Coho 2 salmon 1 coho</t>
  </si>
  <si>
    <t>Area 9</t>
  </si>
  <si>
    <t>Aug 1-Sept 17 MSF Sept 18-30 NS</t>
  </si>
  <si>
    <t>Aug 1-Sept 30 MSF</t>
  </si>
  <si>
    <t>Aug 1- Sept 21 MSF Sept 22-30 NS</t>
  </si>
  <si>
    <t>ID</t>
  </si>
  <si>
    <t>Original Run</t>
  </si>
  <si>
    <t>w/ changes</t>
  </si>
  <si>
    <t>ER Objective</t>
  </si>
  <si>
    <t>Coho MSF Aug 1-31(2 fish pink or hat. coho); NS Sept 1-30 (2 - 1 co)</t>
  </si>
  <si>
    <t>Diff</t>
  </si>
  <si>
    <t>x</t>
  </si>
  <si>
    <t>Coho Harvest Update Model (Testy)</t>
  </si>
  <si>
    <t>Exploitation in Southern U.S. Fisheries</t>
  </si>
  <si>
    <t>SKAGIT</t>
  </si>
  <si>
    <t>STILLY</t>
  </si>
  <si>
    <t>SNOHOM</t>
  </si>
  <si>
    <t>STILLY/SNOHOM</t>
  </si>
  <si>
    <t>HOOD CANAL</t>
  </si>
  <si>
    <t>JUAN DE FUCA TRIBS</t>
  </si>
  <si>
    <t>Wild</t>
  </si>
  <si>
    <t>Marked</t>
  </si>
  <si>
    <t>UnMarked</t>
  </si>
  <si>
    <t>Total</t>
  </si>
  <si>
    <t>FISHERY</t>
  </si>
  <si>
    <t>last year's final</t>
  </si>
  <si>
    <t>Model Run</t>
  </si>
  <si>
    <t>Area 5 Scenarios</t>
  </si>
  <si>
    <t>T1</t>
  </si>
  <si>
    <t>T2</t>
  </si>
  <si>
    <t>T3</t>
  </si>
  <si>
    <t>T4</t>
  </si>
  <si>
    <t>T5</t>
  </si>
  <si>
    <t>MSF</t>
  </si>
  <si>
    <t>NS</t>
  </si>
  <si>
    <t>Area 6 Scenarios</t>
  </si>
  <si>
    <t>Would like to look at seasons that mirror Area 5.  We may also want to understand a Catch per day impact on JDF, Skagit, and Snohomish Coho. No historic data on NS fishery</t>
  </si>
  <si>
    <t>Area 7 Scenarios</t>
  </si>
  <si>
    <t>I think we need to consider modeling as a Non-selective season but make it a 2 salmon, 1 coho per day release Chinook. May also consider MSF for Aug and then NS Sept?</t>
  </si>
  <si>
    <t>Coho MSF Aug 1-31(2 fish pink or Hatchery coho); NS Sept 1-30 (2 fish 1 coho)</t>
  </si>
  <si>
    <t>K</t>
  </si>
  <si>
    <t>Same as last season.  Low impact fishery.  Mngmt season would be 2 fish, pink or coho.</t>
  </si>
  <si>
    <t>N TAMM got overwritten w/ O</t>
  </si>
  <si>
    <t>Much larger geographic area in the means</t>
  </si>
  <si>
    <t>using most recent 6 years with NS estimates</t>
  </si>
  <si>
    <t>1558(MSF)</t>
  </si>
  <si>
    <t>2207(MSF)</t>
  </si>
  <si>
    <t>Is T2 supposed to be coming from the estimator or previous fram input!?! Closed?!</t>
  </si>
  <si>
    <t>5711 NS</t>
  </si>
  <si>
    <t>1558 MSF</t>
  </si>
  <si>
    <t>3842 MSF</t>
  </si>
  <si>
    <t>4323 NS</t>
  </si>
  <si>
    <t>2340 MSF</t>
  </si>
  <si>
    <t>AE</t>
  </si>
  <si>
    <t>Area 9 NS Oct 1-8 1 coho</t>
  </si>
  <si>
    <t>AC</t>
  </si>
  <si>
    <t>AD</t>
  </si>
  <si>
    <t>Area 8-2 Aug 11-Sept 17 2 fish 1 coho</t>
  </si>
  <si>
    <t>Area 8-2 Aug 11 – Sept 30.</t>
  </si>
  <si>
    <t>AA</t>
  </si>
  <si>
    <t>AB</t>
  </si>
  <si>
    <t>Area 7 Aug 1-Sept 17 2 fish 1 coho</t>
  </si>
  <si>
    <t>Area 7 Aug 1-Sept 24 2 fish 1 Coho</t>
  </si>
  <si>
    <t>AF</t>
  </si>
  <si>
    <t>Area 10</t>
  </si>
  <si>
    <t>New Inputs</t>
  </si>
  <si>
    <t>AG</t>
  </si>
  <si>
    <t>Coho MSF Aug 2 coho; NS 1-17 September 1 coho</t>
  </si>
  <si>
    <t>NS Area 7 Aug 1-Sept 17 2 fish 1 coho</t>
  </si>
  <si>
    <t>NS Area 7 Aug 1-Sept 24 2 fish 1 Coho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</si>
</sst>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rgb="FF7030A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0" fillId="0" borderId="8" xfId="0" applyBorder="1" applyAlignment="1"/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0" fontId="0" fillId="3" borderId="7" xfId="0" applyNumberFormat="1" applyFill="1" applyBorder="1" applyAlignment="1">
      <alignment horizontal="center"/>
    </xf>
    <xf numFmtId="0" fontId="0" fillId="5" borderId="10" xfId="0" applyFill="1" applyBorder="1" applyAlignment="1">
      <alignment horizontal="right"/>
    </xf>
    <xf numFmtId="0" fontId="0" fillId="5" borderId="11" xfId="0" applyFill="1" applyBorder="1" applyAlignment="1">
      <alignment horizontal="right"/>
    </xf>
    <xf numFmtId="0" fontId="0" fillId="5" borderId="12" xfId="0" applyFill="1" applyBorder="1" applyAlignment="1">
      <alignment horizontal="right"/>
    </xf>
    <xf numFmtId="10" fontId="0" fillId="5" borderId="2" xfId="0" applyNumberFormat="1" applyFill="1" applyBorder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0" fontId="0" fillId="5" borderId="4" xfId="0" applyNumberFormat="1" applyFill="1" applyBorder="1" applyAlignment="1">
      <alignment horizontal="center"/>
    </xf>
    <xf numFmtId="10" fontId="0" fillId="5" borderId="5" xfId="0" applyNumberFormat="1" applyFill="1" applyBorder="1" applyAlignment="1">
      <alignment horizontal="center"/>
    </xf>
    <xf numFmtId="10" fontId="0" fillId="5" borderId="0" xfId="0" applyNumberFormat="1" applyFill="1" applyBorder="1" applyAlignment="1">
      <alignment horizontal="center"/>
    </xf>
    <xf numFmtId="10" fontId="0" fillId="5" borderId="6" xfId="0" applyNumberFormat="1" applyFill="1" applyBorder="1" applyAlignment="1">
      <alignment horizontal="center"/>
    </xf>
    <xf numFmtId="10" fontId="0" fillId="5" borderId="8" xfId="0" applyNumberFormat="1" applyFill="1" applyBorder="1" applyAlignment="1">
      <alignment horizontal="center"/>
    </xf>
    <xf numFmtId="10" fontId="0" fillId="5" borderId="9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0" borderId="0" xfId="0" applyFont="1" applyAlignment="1"/>
    <xf numFmtId="0" fontId="6" fillId="0" borderId="16" xfId="2" applyBorder="1" applyAlignment="1">
      <alignment horizontal="center"/>
    </xf>
    <xf numFmtId="0" fontId="6" fillId="0" borderId="0" xfId="2"/>
    <xf numFmtId="0" fontId="6" fillId="0" borderId="17" xfId="2" applyBorder="1"/>
    <xf numFmtId="0" fontId="6" fillId="0" borderId="18" xfId="2" applyBorder="1" applyAlignment="1">
      <alignment horizontal="center"/>
    </xf>
    <xf numFmtId="0" fontId="6" fillId="0" borderId="19" xfId="2" applyBorder="1" applyAlignment="1">
      <alignment horizontal="center"/>
    </xf>
    <xf numFmtId="0" fontId="6" fillId="0" borderId="20" xfId="2" applyBorder="1" applyAlignment="1">
      <alignment horizontal="center"/>
    </xf>
    <xf numFmtId="0" fontId="6" fillId="0" borderId="21" xfId="2" applyBorder="1" applyAlignment="1">
      <alignment horizontal="center"/>
    </xf>
    <xf numFmtId="164" fontId="6" fillId="0" borderId="16" xfId="1" applyNumberFormat="1" applyFont="1" applyBorder="1" applyAlignment="1">
      <alignment horizontal="center"/>
    </xf>
    <xf numFmtId="164" fontId="6" fillId="0" borderId="0" xfId="1" applyNumberFormat="1" applyFont="1"/>
    <xf numFmtId="164" fontId="6" fillId="0" borderId="0" xfId="1" applyNumberFormat="1" applyFont="1" applyBorder="1"/>
    <xf numFmtId="164" fontId="6" fillId="0" borderId="18" xfId="1" applyNumberFormat="1" applyFont="1" applyBorder="1" applyAlignment="1">
      <alignment horizontal="center"/>
    </xf>
    <xf numFmtId="164" fontId="0" fillId="0" borderId="0" xfId="1" applyNumberFormat="1" applyFont="1"/>
    <xf numFmtId="0" fontId="0" fillId="0" borderId="22" xfId="0" applyBorder="1"/>
    <xf numFmtId="164" fontId="0" fillId="0" borderId="0" xfId="0" applyNumberFormat="1"/>
    <xf numFmtId="0" fontId="1" fillId="0" borderId="23" xfId="0" applyFont="1" applyBorder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" fontId="0" fillId="0" borderId="0" xfId="0" applyNumberFormat="1"/>
    <xf numFmtId="0" fontId="7" fillId="0" borderId="0" xfId="0" applyFont="1"/>
    <xf numFmtId="0" fontId="8" fillId="0" borderId="0" xfId="0" applyFont="1"/>
    <xf numFmtId="0" fontId="0" fillId="6" borderId="0" xfId="0" applyFill="1"/>
    <xf numFmtId="0" fontId="0" fillId="0" borderId="0" xfId="0" applyFill="1" applyBorder="1" applyAlignment="1"/>
    <xf numFmtId="0" fontId="2" fillId="4" borderId="11" xfId="0" applyFont="1" applyFill="1" applyBorder="1" applyAlignment="1">
      <alignment horizontal="center"/>
    </xf>
    <xf numFmtId="0" fontId="0" fillId="7" borderId="0" xfId="0" applyFill="1" applyAlignment="1">
      <alignment wrapText="1"/>
    </xf>
    <xf numFmtId="0" fontId="7" fillId="7" borderId="0" xfId="0" applyFont="1" applyFill="1" applyAlignment="1">
      <alignment wrapText="1"/>
    </xf>
    <xf numFmtId="0" fontId="11" fillId="0" borderId="0" xfId="0" applyFont="1"/>
    <xf numFmtId="0" fontId="0" fillId="7" borderId="0" xfId="0" applyFill="1"/>
    <xf numFmtId="164" fontId="0" fillId="2" borderId="13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</cellXfs>
  <cellStyles count="3">
    <cellStyle name="Normal" xfId="0" builtinId="0"/>
    <cellStyle name="Normal_co0119" xfId="2" xr:uid="{D377474C-D7B3-4A7E-BBF7-5C83907B30B3}"/>
    <cellStyle name="Percent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RAM\Coho23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endents_Overview"/>
      <sheetName val="Contents"/>
      <sheetName val="1"/>
      <sheetName val="2"/>
      <sheetName val="4"/>
      <sheetName val="7"/>
      <sheetName val="Sk"/>
      <sheetName val="StSn"/>
      <sheetName val="HdC"/>
      <sheetName val="SPS"/>
      <sheetName val="NS"/>
      <sheetName val="JDF"/>
      <sheetName val="PFMCTables"/>
      <sheetName val="WACoastTerminal"/>
      <sheetName val="Thompson"/>
      <sheetName val="Input_Harvestnew"/>
      <sheetName val="Input_Stockdata"/>
      <sheetName val="Tami"/>
      <sheetName val="Tami_Precedents"/>
      <sheetName val="FishSumAllPRN"/>
      <sheetName val="StockSumPRN"/>
      <sheetName val="Table2PRN"/>
      <sheetName val="TRunsPRN"/>
      <sheetName val="LandedCNRTMbyTP"/>
      <sheetName val="FisheryConvTemplate"/>
      <sheetName val="NT-Tsummary"/>
      <sheetName val="PS_HatcheryEsc."/>
      <sheetName val="Documentation"/>
      <sheetName val="fram_unm_mrkprn"/>
      <sheetName val="FramScalarsOPIstyle"/>
      <sheetName val="ColR&amp;OCN&amp;RogKlam"/>
      <sheetName val="ColRPercent"/>
      <sheetName val="ColRHarvestInput"/>
      <sheetName val="AttachC"/>
      <sheetName val="AttachCStkInput"/>
      <sheetName val="SportMatrix"/>
      <sheetName val="RunLog"/>
      <sheetName val="Preseason2023_Tracking"/>
      <sheetName val="Preseason2021_Tracking"/>
      <sheetName val="Preseason2020_Tracking"/>
      <sheetName val="Preseason2019_Tracking"/>
      <sheetName val="CohoStock_Reference"/>
      <sheetName val="CohoFishery_Reference"/>
      <sheetName val="TAAETRSList18_Reference"/>
      <sheetName val="Defined_Names0519"/>
    </sheetNames>
    <sheetDataSet>
      <sheetData sheetId="0"/>
      <sheetData sheetId="1"/>
      <sheetData sheetId="2"/>
      <sheetData sheetId="3"/>
      <sheetData sheetId="4">
        <row r="30">
          <cell r="C30">
            <v>0.45731323307815575</v>
          </cell>
          <cell r="D30">
            <v>0.22615552109795123</v>
          </cell>
          <cell r="E30">
            <v>0.19413804792823802</v>
          </cell>
          <cell r="F30">
            <v>0.37750381157667839</v>
          </cell>
          <cell r="G30">
            <v>8.0439223697650677E-2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Garber, Tyler J (DFW)" id="{4BF7339B-84AB-4B5F-B1E8-0BF3AE23A8E8}" userId="S::Tyler.Garber@dfw.wa.gov::7488566e-cbda-4d10-9bbf-433b28b1ff1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24" dT="2023-03-10T01:41:49.79" personId="{4BF7339B-84AB-4B5F-B1E8-0BF3AE23A8E8}" id="{86A7B2E7-FD0D-47B8-A525-6685761FE881}">
    <text>sport tool 2018, 2020 ns 10wd 6we</text>
  </threadedComment>
  <threadedComment ref="F24" dT="2023-03-10T22:50:44.92" personId="{4BF7339B-84AB-4B5F-B1E8-0BF3AE23A8E8}" id="{D01BDD2B-FD2F-4431-AFF8-2D2DB01BEE05}" parentId="{86A7B2E7-FD0D-47B8-A525-6685761FE881}">
    <text>No adjustment for bag limit change. Analyis shows nearly the same for 2 or 1 fish limit ~.98</text>
  </threadedComment>
  <threadedComment ref="G24" dT="2023-03-10T01:35:06.40" personId="{4BF7339B-84AB-4B5F-B1E8-0BF3AE23A8E8}" id="{4BF4F3BE-FF2A-4DF9-8291-BE34D8ACECF5}">
    <text>18-20 sport tool, 15 wd 15 we</text>
  </threadedComment>
  <threadedComment ref="G24" dT="2023-03-10T22:48:57.43" personId="{4BF7339B-84AB-4B5F-B1E8-0BF3AE23A8E8}" id="{57985CF2-3A83-4710-BE12-69E5FE26AFFF}" parentId="{4BF4F3BE-FF2A-4DF9-8291-BE34D8ACECF5}">
    <text>multiplied by .66 to account for 1 fish bag limit. see A7 Bag Sept 2019 NS sheet</text>
  </threadedComment>
  <threadedComment ref="G25" dT="2023-03-10T01:35:06.40" personId="{4BF7339B-84AB-4B5F-B1E8-0BF3AE23A8E8}" id="{37CEF655-2722-42E6-B980-8A91E91EF63F}">
    <text>18-20 sport tool, 15 wd 15 we</text>
  </threadedComment>
  <threadedComment ref="I50" dT="2023-03-10T16:18:51.34" personId="{4BF7339B-84AB-4B5F-B1E8-0BF3AE23A8E8}" id="{E5CFEC5F-D135-4CB5-B703-C4B54AC20F74}">
    <text>2010:2015 NS 8WD 5 WE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0995D-FEEE-4A6C-9667-AECD8A4879FA}">
  <dimension ref="A1:I45"/>
  <sheetViews>
    <sheetView tabSelected="1" topLeftCell="A10" zoomScale="130" zoomScaleNormal="130" workbookViewId="0">
      <selection activeCell="D23" sqref="D23"/>
    </sheetView>
  </sheetViews>
  <sheetFormatPr defaultRowHeight="18.75" x14ac:dyDescent="0.3"/>
  <cols>
    <col min="1" max="1" width="2.7109375" style="1" bestFit="1" customWidth="1"/>
    <col min="2" max="2" width="57.42578125" style="5" customWidth="1"/>
    <col min="3" max="3" width="4.28515625" style="28" customWidth="1"/>
    <col min="4" max="4" width="10.85546875" style="1" customWidth="1"/>
    <col min="5" max="5" width="10.5703125" style="1" customWidth="1"/>
    <col min="6" max="6" width="11.42578125" style="1" customWidth="1"/>
    <col min="7" max="7" width="15.7109375" style="1" customWidth="1"/>
    <col min="8" max="8" width="8" style="1" customWidth="1"/>
    <col min="9" max="9" width="8.85546875" style="1"/>
  </cols>
  <sheetData>
    <row r="1" spans="1:9" ht="21" x14ac:dyDescent="0.35">
      <c r="B1" s="35" t="s">
        <v>51</v>
      </c>
    </row>
    <row r="2" spans="1:9" ht="19.5" thickBot="1" x14ac:dyDescent="0.35">
      <c r="D2" s="8" t="s">
        <v>19</v>
      </c>
      <c r="E2" s="8" t="s">
        <v>20</v>
      </c>
      <c r="F2" s="8" t="s">
        <v>21</v>
      </c>
      <c r="G2" s="8" t="s">
        <v>22</v>
      </c>
      <c r="H2" s="8" t="s">
        <v>23</v>
      </c>
      <c r="I2" s="8" t="s">
        <v>18</v>
      </c>
    </row>
    <row r="3" spans="1:9" x14ac:dyDescent="0.3">
      <c r="B3" s="17" t="s">
        <v>45</v>
      </c>
      <c r="D3" s="20">
        <v>0.45688438293914663</v>
      </c>
      <c r="E3" s="21">
        <v>0.22606400527878587</v>
      </c>
      <c r="F3" s="21">
        <v>0.19407538756405074</v>
      </c>
      <c r="G3" s="21">
        <v>0.37726723095525999</v>
      </c>
      <c r="H3" s="21">
        <v>8.0561761889562697E-2</v>
      </c>
      <c r="I3" s="22">
        <v>9.482717577604266E-2</v>
      </c>
    </row>
    <row r="4" spans="1:9" x14ac:dyDescent="0.3">
      <c r="B4" s="18" t="s">
        <v>47</v>
      </c>
      <c r="D4" s="23">
        <v>0.35</v>
      </c>
      <c r="E4" s="24">
        <v>0.5</v>
      </c>
      <c r="F4" s="24">
        <v>0.4</v>
      </c>
      <c r="G4" s="24">
        <v>0.45</v>
      </c>
      <c r="H4" s="24">
        <v>0.4</v>
      </c>
      <c r="I4" s="25">
        <v>0.1</v>
      </c>
    </row>
    <row r="5" spans="1:9" ht="19.5" thickBot="1" x14ac:dyDescent="0.35">
      <c r="B5" s="19" t="s">
        <v>46</v>
      </c>
      <c r="D5" s="16">
        <f t="shared" ref="D5:I5" si="0">D3+D45</f>
        <v>0.44971964734923148</v>
      </c>
      <c r="E5" s="26">
        <f t="shared" si="0"/>
        <v>0.25188642009775342</v>
      </c>
      <c r="F5" s="26">
        <f t="shared" si="0"/>
        <v>0.22425147652140121</v>
      </c>
      <c r="G5" s="26">
        <f t="shared" si="0"/>
        <v>0.39775593824143307</v>
      </c>
      <c r="H5" s="26">
        <f t="shared" si="0"/>
        <v>7.6879480608794432E-2</v>
      </c>
      <c r="I5" s="27">
        <f t="shared" si="0"/>
        <v>9.5060707146841381E-2</v>
      </c>
    </row>
    <row r="6" spans="1:9" ht="4.9000000000000004" customHeight="1" thickBot="1" x14ac:dyDescent="0.35">
      <c r="D6" s="9"/>
      <c r="E6" s="9"/>
      <c r="F6" s="9"/>
      <c r="G6" s="9"/>
      <c r="H6" s="9"/>
      <c r="I6" s="9"/>
    </row>
    <row r="7" spans="1:9" s="2" customFormat="1" ht="15.75" thickBot="1" x14ac:dyDescent="0.3">
      <c r="A7" s="14" t="s">
        <v>44</v>
      </c>
      <c r="B7" s="65" t="s">
        <v>30</v>
      </c>
      <c r="C7" s="65"/>
      <c r="D7" s="65"/>
      <c r="E7" s="65"/>
      <c r="F7" s="65"/>
      <c r="G7" s="65"/>
      <c r="H7" s="65"/>
      <c r="I7" s="66"/>
    </row>
    <row r="8" spans="1:9" ht="19.5" thickBot="1" x14ac:dyDescent="0.35">
      <c r="A8" s="3" t="s">
        <v>0</v>
      </c>
      <c r="B8" s="6" t="s">
        <v>24</v>
      </c>
      <c r="C8" s="29" t="s">
        <v>50</v>
      </c>
      <c r="D8" s="10">
        <f>_xlfn.XLOOKUP($A8,Runs!$A$2:$A$60,Runs!B$2:B$60) - D$3</f>
        <v>-6.1316087735652225E-4</v>
      </c>
      <c r="E8" s="10">
        <f>_xlfn.XLOOKUP($A8,Runs!$A$2:$A$60,Runs!C$2:C$60) - E$3</f>
        <v>-1.015339865872239E-3</v>
      </c>
      <c r="F8" s="10">
        <f>_xlfn.XLOOKUP($A8,Runs!$A$2:$A$60,Runs!D$2:D$60) - F$3</f>
        <v>-1.0561038893307506E-3</v>
      </c>
      <c r="G8" s="10">
        <f>_xlfn.XLOOKUP($A8,Runs!$A$2:$A$60,Runs!E$2:E$60) - G$3</f>
        <v>-1.1993042446056812E-3</v>
      </c>
      <c r="H8" s="10">
        <f>_xlfn.XLOOKUP($A8,Runs!$A$2:$A$60,Runs!F$2:F$60) - H$3</f>
        <v>-2.9315269559569562E-3</v>
      </c>
      <c r="I8" s="10">
        <f>_xlfn.XLOOKUP($A8,Runs!$A$2:$A$60,Runs!G$2:G$60) - I$3</f>
        <v>-1.2854694343934492E-3</v>
      </c>
    </row>
    <row r="9" spans="1:9" ht="19.5" thickBot="1" x14ac:dyDescent="0.35">
      <c r="A9" s="3" t="s">
        <v>1</v>
      </c>
      <c r="B9" s="6" t="s">
        <v>25</v>
      </c>
      <c r="C9" s="29"/>
      <c r="D9" s="10">
        <f>_xlfn.XLOOKUP($A9,Runs!$A$2:$A$60,Runs!B$2:B$60) - D$3</f>
        <v>2.4280601130262092E-3</v>
      </c>
      <c r="E9" s="10">
        <f>_xlfn.XLOOKUP($A9,Runs!$A$2:$A$60,Runs!C$2:C$60) - E$3</f>
        <v>1.9870686596482889E-3</v>
      </c>
      <c r="F9" s="10">
        <f>_xlfn.XLOOKUP($A9,Runs!$A$2:$A$60,Runs!D$2:D$60) - F$3</f>
        <v>2.1175720187393554E-3</v>
      </c>
      <c r="G9" s="10">
        <f>_xlfn.XLOOKUP($A9,Runs!$A$2:$A$60,Runs!E$2:E$60) - G$3</f>
        <v>4.9442443253140955E-3</v>
      </c>
      <c r="H9" s="10">
        <f>_xlfn.XLOOKUP($A9,Runs!$A$2:$A$60,Runs!F$2:F$60) - H$3</f>
        <v>5.7981027941674534E-3</v>
      </c>
      <c r="I9" s="10">
        <f>_xlfn.XLOOKUP($A9,Runs!$A$2:$A$60,Runs!G$2:G$60) - I$3</f>
        <v>3.4162250760745444E-3</v>
      </c>
    </row>
    <row r="10" spans="1:9" ht="19.5" thickBot="1" x14ac:dyDescent="0.35">
      <c r="A10" s="3" t="s">
        <v>2</v>
      </c>
      <c r="B10" s="6" t="s">
        <v>26</v>
      </c>
      <c r="C10" s="29"/>
      <c r="D10" s="10">
        <f>_xlfn.XLOOKUP($A10,Runs!$A$2:$A$60,Runs!B$2:B$60) - D$3</f>
        <v>3.0474549781049909E-3</v>
      </c>
      <c r="E10" s="10">
        <f>_xlfn.XLOOKUP($A10,Runs!$A$2:$A$60,Runs!C$2:C$60) - E$3</f>
        <v>2.4565173555021191E-3</v>
      </c>
      <c r="F10" s="10">
        <f>_xlfn.XLOOKUP($A10,Runs!$A$2:$A$60,Runs!D$2:D$60) - F$3</f>
        <v>2.6600300261033771E-3</v>
      </c>
      <c r="G10" s="10">
        <f>_xlfn.XLOOKUP($A10,Runs!$A$2:$A$60,Runs!E$2:E$60) - G$3</f>
        <v>5.8965841252940354E-3</v>
      </c>
      <c r="H10" s="10">
        <f>_xlfn.XLOOKUP($A10,Runs!$A$2:$A$60,Runs!F$2:F$60) - H$3</f>
        <v>7.1967267497020371E-3</v>
      </c>
      <c r="I10" s="10">
        <f>_xlfn.XLOOKUP($A10,Runs!$A$2:$A$60,Runs!G$2:G$60) - I$3</f>
        <v>4.1540919268112236E-3</v>
      </c>
    </row>
    <row r="11" spans="1:9" ht="19.5" thickBot="1" x14ac:dyDescent="0.35">
      <c r="A11" s="4" t="s">
        <v>3</v>
      </c>
      <c r="B11" s="7" t="s">
        <v>27</v>
      </c>
      <c r="C11" s="30"/>
      <c r="D11" s="10">
        <f>_xlfn.XLOOKUP($A11,Runs!$A$2:$A$60,Runs!B$2:B$60) - D$3</f>
        <v>3.3883112792312819E-3</v>
      </c>
      <c r="E11" s="10">
        <f>_xlfn.XLOOKUP($A11,Runs!$A$2:$A$60,Runs!C$2:C$60) - E$3</f>
        <v>3.0786068018396062E-3</v>
      </c>
      <c r="F11" s="10">
        <f>_xlfn.XLOOKUP($A11,Runs!$A$2:$A$60,Runs!D$2:D$60) - F$3</f>
        <v>3.1919944157935698E-3</v>
      </c>
      <c r="G11" s="10">
        <f>_xlfn.XLOOKUP($A11,Runs!$A$2:$A$60,Runs!E$2:E$60) - G$3</f>
        <v>6.8225432950882459E-3</v>
      </c>
      <c r="H11" s="10">
        <f>_xlfn.XLOOKUP($A11,Runs!$A$2:$A$60,Runs!F$2:F$60) - H$3</f>
        <v>8.6532987358361735E-3</v>
      </c>
      <c r="I11" s="10">
        <f>_xlfn.XLOOKUP($A11,Runs!$A$2:$A$60,Runs!G$2:G$60) - I$3</f>
        <v>4.9014860985705649E-3</v>
      </c>
    </row>
    <row r="12" spans="1:9" ht="3.6" customHeight="1" thickBot="1" x14ac:dyDescent="0.35">
      <c r="C12" s="31" t="str">
        <f>IF(COUNTIF(C8:C11,"x") &gt; 1, "Please select one scenario per area",  "")</f>
        <v/>
      </c>
      <c r="D12" s="9"/>
      <c r="E12" s="9"/>
      <c r="F12" s="9"/>
      <c r="G12" s="9"/>
      <c r="H12" s="9"/>
      <c r="I12" s="9"/>
    </row>
    <row r="13" spans="1:9" ht="15.75" thickBot="1" x14ac:dyDescent="0.3">
      <c r="A13" s="14" t="s">
        <v>44</v>
      </c>
      <c r="B13" s="65" t="s">
        <v>31</v>
      </c>
      <c r="C13" s="65"/>
      <c r="D13" s="65"/>
      <c r="E13" s="65"/>
      <c r="F13" s="65"/>
      <c r="G13" s="65"/>
      <c r="H13" s="65"/>
      <c r="I13" s="66"/>
    </row>
    <row r="14" spans="1:9" ht="19.5" thickBot="1" x14ac:dyDescent="0.35">
      <c r="A14" s="3" t="s">
        <v>4</v>
      </c>
      <c r="B14" s="6" t="s">
        <v>28</v>
      </c>
      <c r="C14" s="32" t="s">
        <v>50</v>
      </c>
      <c r="D14" s="10">
        <f>_xlfn.XLOOKUP($A14,Runs!$A$2:$A$60,Runs!B$2:B$60) - D$3</f>
        <v>-1.0437752717695759E-6</v>
      </c>
      <c r="E14" s="10">
        <f>_xlfn.XLOOKUP($A14,Runs!$A$2:$A$60,Runs!C$2:C$60) - E$3</f>
        <v>-7.9181788188717461E-4</v>
      </c>
      <c r="F14" s="10">
        <f>_xlfn.XLOOKUP($A14,Runs!$A$2:$A$60,Runs!D$2:D$60) - F$3</f>
        <v>-8.449713754620225E-4</v>
      </c>
      <c r="G14" s="10">
        <f>_xlfn.XLOOKUP($A14,Runs!$A$2:$A$60,Runs!E$2:E$60) - G$3</f>
        <v>-9.8900483081532098E-4</v>
      </c>
      <c r="H14" s="10">
        <f>_xlfn.XLOOKUP($A14,Runs!$A$2:$A$60,Runs!F$2:F$60) - H$3</f>
        <v>-1.846235842575969E-3</v>
      </c>
      <c r="I14" s="10">
        <f>_xlfn.XLOOKUP($A14,Runs!$A$2:$A$60,Runs!G$2:G$60) - I$3</f>
        <v>-9.7600457055799228E-4</v>
      </c>
    </row>
    <row r="15" spans="1:9" ht="19.5" thickBot="1" x14ac:dyDescent="0.35">
      <c r="A15" s="3" t="s">
        <v>5</v>
      </c>
      <c r="B15" s="6" t="s">
        <v>25</v>
      </c>
      <c r="C15" s="32"/>
      <c r="D15" s="10">
        <f>_xlfn.XLOOKUP($A15,Runs!$A$2:$A$60,Runs!B$2:B$60) - D$3</f>
        <v>1.8725577637961344E-3</v>
      </c>
      <c r="E15" s="10">
        <f>_xlfn.XLOOKUP($A15,Runs!$A$2:$A$60,Runs!C$2:C$60) - E$3</f>
        <v>1.2867040580666067E-3</v>
      </c>
      <c r="F15" s="10">
        <f>_xlfn.XLOOKUP($A15,Runs!$A$2:$A$60,Runs!D$2:D$60) - F$3</f>
        <v>1.3769651393743532E-3</v>
      </c>
      <c r="G15" s="10">
        <f>_xlfn.XLOOKUP($A15,Runs!$A$2:$A$60,Runs!E$2:E$60) - G$3</f>
        <v>2.8578741751016379E-3</v>
      </c>
      <c r="H15" s="10">
        <f>_xlfn.XLOOKUP($A15,Runs!$A$2:$A$60,Runs!F$2:F$60) - H$3</f>
        <v>3.6917646311496327E-3</v>
      </c>
      <c r="I15" s="10">
        <f>_xlfn.XLOOKUP($A15,Runs!$A$2:$A$60,Runs!G$2:G$60) - I$3</f>
        <v>2.0998195347092796E-3</v>
      </c>
    </row>
    <row r="16" spans="1:9" ht="19.5" thickBot="1" x14ac:dyDescent="0.35">
      <c r="A16" s="3" t="s">
        <v>6</v>
      </c>
      <c r="B16" s="6" t="s">
        <v>26</v>
      </c>
      <c r="C16" s="29"/>
      <c r="D16" s="10">
        <f>_xlfn.XLOOKUP($A16,Runs!$A$2:$A$60,Runs!B$2:B$60) - D$3</f>
        <v>2.364015950514553E-3</v>
      </c>
      <c r="E16" s="10">
        <f>_xlfn.XLOOKUP($A16,Runs!$A$2:$A$60,Runs!C$2:C$60) - E$3</f>
        <v>1.7410819832641977E-3</v>
      </c>
      <c r="F16" s="10">
        <f>_xlfn.XLOOKUP($A16,Runs!$A$2:$A$60,Runs!D$2:D$60) - F$3</f>
        <v>1.8202564469533278E-3</v>
      </c>
      <c r="G16" s="10">
        <f>_xlfn.XLOOKUP($A16,Runs!$A$2:$A$60,Runs!E$2:E$60) - G$3</f>
        <v>3.6000489396152413E-3</v>
      </c>
      <c r="H16" s="10">
        <f>_xlfn.XLOOKUP($A16,Runs!$A$2:$A$60,Runs!F$2:F$60) - H$3</f>
        <v>4.7714012454896371E-3</v>
      </c>
      <c r="I16" s="10">
        <f>_xlfn.XLOOKUP($A16,Runs!$A$2:$A$60,Runs!G$2:G$60) - I$3</f>
        <v>2.6937411157607755E-3</v>
      </c>
    </row>
    <row r="17" spans="1:9" ht="19.5" thickBot="1" x14ac:dyDescent="0.35">
      <c r="A17" s="4" t="s">
        <v>7</v>
      </c>
      <c r="B17" s="7" t="s">
        <v>27</v>
      </c>
      <c r="C17" s="30"/>
      <c r="D17" s="10">
        <f>_xlfn.XLOOKUP($A17,Runs!$A$2:$A$60,Runs!B$2:B$60) - D$3</f>
        <v>3.0629589829178627E-3</v>
      </c>
      <c r="E17" s="10">
        <f>_xlfn.XLOOKUP($A17,Runs!$A$2:$A$60,Runs!C$2:C$60) - E$3</f>
        <v>2.1699691859299319E-3</v>
      </c>
      <c r="F17" s="10">
        <f>_xlfn.XLOOKUP($A17,Runs!$A$2:$A$60,Runs!D$2:D$60) - F$3</f>
        <v>2.2819434051547516E-3</v>
      </c>
      <c r="G17" s="10">
        <f>_xlfn.XLOOKUP($A17,Runs!$A$2:$A$60,Runs!E$2:E$60) - G$3</f>
        <v>4.3096415808767108E-3</v>
      </c>
      <c r="H17" s="10">
        <f>_xlfn.XLOOKUP($A17,Runs!$A$2:$A$60,Runs!F$2:F$60) - H$3</f>
        <v>5.7981027941674534E-3</v>
      </c>
      <c r="I17" s="10">
        <f>_xlfn.XLOOKUP($A17,Runs!$A$2:$A$60,Runs!G$2:G$60) - I$3</f>
        <v>3.2876485598613697E-3</v>
      </c>
    </row>
    <row r="18" spans="1:9" ht="3.6" customHeight="1" thickBot="1" x14ac:dyDescent="0.35">
      <c r="C18" s="31" t="str">
        <f>IF(COUNTIF(C14:C17,"x") &gt; 1, "Please select one scenario per area",  "")</f>
        <v/>
      </c>
      <c r="D18" s="10" t="e">
        <f>_xlfn.XLOOKUP($A18,Runs!$A$2:$A$25,Runs!B$2:B$25) - D$3</f>
        <v>#N/A</v>
      </c>
      <c r="E18" s="10" t="e">
        <f>_xlfn.XLOOKUP($A18,Runs!$A$2:$A$25,Runs!C$2:C$25) - E$3</f>
        <v>#N/A</v>
      </c>
      <c r="F18" s="10" t="e">
        <f>_xlfn.XLOOKUP($A18,Runs!$A$2:$A$25,Runs!D$2:D$25) - F$3</f>
        <v>#N/A</v>
      </c>
      <c r="G18" s="10" t="e">
        <f>_xlfn.XLOOKUP($A18,Runs!$A$2:$A$25,Runs!E$2:E$25) - G$3</f>
        <v>#N/A</v>
      </c>
      <c r="H18" s="10" t="e">
        <f>_xlfn.XLOOKUP($A18,Runs!$A$2:$A$25,Runs!F$2:F$25) - H$3</f>
        <v>#N/A</v>
      </c>
      <c r="I18" s="10" t="e">
        <f>_xlfn.XLOOKUP($A18,Runs!$A$2:$A$25,Runs!G$2:G$25) - I$3</f>
        <v>#N/A</v>
      </c>
    </row>
    <row r="19" spans="1:9" ht="15.75" thickBot="1" x14ac:dyDescent="0.3">
      <c r="A19" s="15" t="s">
        <v>44</v>
      </c>
      <c r="B19" s="65" t="s">
        <v>32</v>
      </c>
      <c r="C19" s="67"/>
      <c r="D19" s="65"/>
      <c r="E19" s="65"/>
      <c r="F19" s="65"/>
      <c r="G19" s="65"/>
      <c r="H19" s="65"/>
      <c r="I19" s="66"/>
    </row>
    <row r="20" spans="1:9" ht="19.5" thickBot="1" x14ac:dyDescent="0.35">
      <c r="A20" s="11" t="s">
        <v>8</v>
      </c>
      <c r="B20" s="6" t="s">
        <v>29</v>
      </c>
      <c r="C20" s="32"/>
      <c r="D20" s="10">
        <f>_xlfn.XLOOKUP($A20,Runs!$A$2:$A$60,Runs!B$2:B$60) - D$3</f>
        <v>2.6599263774256254E-3</v>
      </c>
      <c r="E20" s="10">
        <f>_xlfn.XLOOKUP($A20,Runs!$A$2:$A$60,Runs!C$2:C$60) - E$3</f>
        <v>6.5236831495896208E-4</v>
      </c>
      <c r="F20" s="10">
        <f>_xlfn.XLOOKUP($A20,Runs!$A$2:$A$60,Runs!D$2:D$60) - F$3</f>
        <v>6.8595221873651857E-4</v>
      </c>
      <c r="G20" s="10">
        <f>_xlfn.XLOOKUP($A20,Runs!$A$2:$A$60,Runs!E$2:E$60) - G$3</f>
        <v>9.6266679202594574E-4</v>
      </c>
      <c r="H20" s="10">
        <f>_xlfn.XLOOKUP($A20,Runs!$A$2:$A$60,Runs!F$2:F$60) - H$3</f>
        <v>-5.8697538183730136E-5</v>
      </c>
      <c r="I20" s="10">
        <f>_xlfn.XLOOKUP($A20,Runs!$A$2:$A$60,Runs!G$2:G$60) - I$3</f>
        <v>9.9411890330204505E-3</v>
      </c>
    </row>
    <row r="21" spans="1:9" ht="19.5" thickBot="1" x14ac:dyDescent="0.35">
      <c r="A21" s="11" t="s">
        <v>105</v>
      </c>
      <c r="B21" s="57" t="s">
        <v>106</v>
      </c>
      <c r="C21" s="32" t="s">
        <v>50</v>
      </c>
      <c r="D21" s="10">
        <f>_xlfn.XLOOKUP($A21,Runs!$A$2:$A$60,Runs!B$2:B$60) - D$3</f>
        <v>4.2885013900911817E-4</v>
      </c>
      <c r="E21" s="10">
        <f>_xlfn.XLOOKUP($A21,Runs!$A$2:$A$60,Runs!C$2:C$60) - E$3</f>
        <v>9.151581916536089E-5</v>
      </c>
      <c r="F21" s="10">
        <f>_xlfn.XLOOKUP($A21,Runs!$A$2:$A$60,Runs!D$2:D$60) - F$3</f>
        <v>6.2660364187283601E-5</v>
      </c>
      <c r="G21" s="10">
        <f>_xlfn.XLOOKUP($A21,Runs!$A$2:$A$60,Runs!E$2:E$60) - G$3</f>
        <v>2.3658062141840297E-4</v>
      </c>
      <c r="H21" s="10">
        <f>_xlfn.XLOOKUP($A21,Runs!$A$2:$A$60,Runs!F$2:F$60) - H$3</f>
        <v>-1.2253819191201942E-4</v>
      </c>
      <c r="I21" s="10">
        <f>_xlfn.XLOOKUP($A21,Runs!$A$2:$A$60,Runs!G$2:G$60) - I$3</f>
        <v>1.5127635205115231E-3</v>
      </c>
    </row>
    <row r="22" spans="1:9" ht="19.5" thickBot="1" x14ac:dyDescent="0.35">
      <c r="A22" s="11" t="s">
        <v>9</v>
      </c>
      <c r="B22" s="6" t="s">
        <v>48</v>
      </c>
      <c r="C22" s="29"/>
      <c r="D22" s="10">
        <f>_xlfn.XLOOKUP($A22,Runs!$A$2:$A$60,Runs!B$2:B$60) - D$3</f>
        <v>2.0953529297346729E-3</v>
      </c>
      <c r="E22" s="10">
        <f>_xlfn.XLOOKUP($A22,Runs!$A$2:$A$60,Runs!C$2:C$60) - E$3</f>
        <v>6.5236831495896208E-4</v>
      </c>
      <c r="F22" s="10">
        <f>_xlfn.XLOOKUP($A22,Runs!$A$2:$A$60,Runs!D$2:D$60) - F$3</f>
        <v>6.7291423910184611E-4</v>
      </c>
      <c r="G22" s="10">
        <f>_xlfn.XLOOKUP($A22,Runs!$A$2:$A$60,Runs!E$2:E$60) - G$3</f>
        <v>9.0015417774386153E-4</v>
      </c>
      <c r="H22" s="10">
        <f>_xlfn.XLOOKUP($A22,Runs!$A$2:$A$60,Runs!F$2:F$60) - H$3</f>
        <v>-5.8697538183730136E-5</v>
      </c>
      <c r="I22" s="10">
        <f>_xlfn.XLOOKUP($A22,Runs!$A$2:$A$60,Runs!G$2:G$60) - I$3</f>
        <v>9.1738714939149785E-3</v>
      </c>
    </row>
    <row r="23" spans="1:9" ht="19.5" thickBot="1" x14ac:dyDescent="0.35">
      <c r="A23" s="13" t="s">
        <v>98</v>
      </c>
      <c r="B23" s="6" t="s">
        <v>107</v>
      </c>
      <c r="C23" s="30"/>
      <c r="D23" s="10">
        <f>_xlfn.XLOOKUP($A23,Runs!$A$2:$A$60,Runs!B$2:B$60) - D$3</f>
        <v>1.4155563607238242E-3</v>
      </c>
      <c r="E23" s="10">
        <f>_xlfn.XLOOKUP($A23,Runs!$A$2:$A$60,Runs!C$2:C$60) - E$3</f>
        <v>6.5984823490600197E-5</v>
      </c>
      <c r="F23" s="10">
        <f>_xlfn.XLOOKUP($A23,Runs!$A$2:$A$60,Runs!D$2:D$60) - F$3</f>
        <v>8.6205155541418943E-5</v>
      </c>
      <c r="G23" s="10">
        <f>_xlfn.XLOOKUP($A23,Runs!$A$2:$A$60,Runs!E$2:E$60) - G$3</f>
        <v>4.2701780932835609E-4</v>
      </c>
      <c r="H23" s="10">
        <f>_xlfn.XLOOKUP($A23,Runs!$A$2:$A$60,Runs!F$2:F$60) - H$3</f>
        <v>-1.1740257142439647E-4</v>
      </c>
      <c r="I23" s="10">
        <f>_xlfn.XLOOKUP($A23,Runs!$A$2:$A$60,Runs!G$2:G$60) - I$3</f>
        <v>3.2150735545137255E-3</v>
      </c>
    </row>
    <row r="24" spans="1:9" ht="19.5" thickBot="1" x14ac:dyDescent="0.35">
      <c r="A24" s="13" t="s">
        <v>99</v>
      </c>
      <c r="B24" s="6" t="s">
        <v>108</v>
      </c>
      <c r="C24" s="30"/>
      <c r="D24" s="10">
        <f>_xlfn.XLOOKUP($A24,Runs!$A$2:$A$60,Runs!B$2:B$60) - D$3</f>
        <v>2.3862519940253124E-3</v>
      </c>
      <c r="E24" s="10">
        <f>_xlfn.XLOOKUP($A24,Runs!$A$2:$A$60,Runs!C$2:C$60) - E$3</f>
        <v>4.1395724430731695E-4</v>
      </c>
      <c r="F24" s="10">
        <f>_xlfn.XLOOKUP($A24,Runs!$A$2:$A$60,Runs!D$2:D$60) - F$3</f>
        <v>4.2265676450203848E-4</v>
      </c>
      <c r="G24" s="10">
        <f>_xlfn.XLOOKUP($A24,Runs!$A$2:$A$60,Runs!E$2:E$60) - G$3</f>
        <v>7.3602859996846348E-4</v>
      </c>
      <c r="H24" s="10">
        <f>_xlfn.XLOOKUP($A24,Runs!$A$2:$A$60,Runs!F$2:F$60) - H$3</f>
        <v>-5.8697538183730136E-5</v>
      </c>
      <c r="I24" s="10">
        <f>_xlfn.XLOOKUP($A24,Runs!$A$2:$A$60,Runs!G$2:G$60) - I$3</f>
        <v>7.3732026557265656E-3</v>
      </c>
    </row>
    <row r="25" spans="1:9" ht="2.4500000000000002" customHeight="1" thickBot="1" x14ac:dyDescent="0.35">
      <c r="C25" s="31" t="str">
        <f>IF(COUNTIF(C20:C22,"x") &gt; 1, "Please select one scenario per area",  "")</f>
        <v/>
      </c>
      <c r="D25" s="10" t="e">
        <f>_xlfn.XLOOKUP($A25,Runs!$A$2:$A$25,Runs!B$2:B$25) - D$3</f>
        <v>#N/A</v>
      </c>
      <c r="E25" s="10" t="e">
        <f>_xlfn.XLOOKUP($A25,Runs!$A$2:$A$25,Runs!C$2:C$25) - E$3</f>
        <v>#N/A</v>
      </c>
      <c r="F25" s="10" t="e">
        <f>_xlfn.XLOOKUP($A25,Runs!$A$2:$A$25,Runs!D$2:D$25) - F$3</f>
        <v>#N/A</v>
      </c>
      <c r="G25" s="10" t="e">
        <f>_xlfn.XLOOKUP($A25,Runs!$A$2:$A$25,Runs!E$2:E$25) - G$3</f>
        <v>#N/A</v>
      </c>
      <c r="H25" s="10" t="e">
        <f>_xlfn.XLOOKUP($A25,Runs!$A$2:$A$25,Runs!F$2:F$25) - H$3</f>
        <v>#N/A</v>
      </c>
      <c r="I25" s="10" t="e">
        <f>_xlfn.XLOOKUP($A25,Runs!$A$2:$A$25,Runs!G$2:G$25) - I$3</f>
        <v>#N/A</v>
      </c>
    </row>
    <row r="26" spans="1:9" ht="15.75" thickBot="1" x14ac:dyDescent="0.3">
      <c r="A26" s="15" t="s">
        <v>44</v>
      </c>
      <c r="B26" s="65" t="s">
        <v>33</v>
      </c>
      <c r="C26" s="65"/>
      <c r="D26" s="65"/>
      <c r="E26" s="65"/>
      <c r="F26" s="65"/>
      <c r="G26" s="65"/>
      <c r="H26" s="65"/>
      <c r="I26" s="66"/>
    </row>
    <row r="27" spans="1:9" ht="19.5" thickBot="1" x14ac:dyDescent="0.35">
      <c r="A27" s="12" t="s">
        <v>10</v>
      </c>
      <c r="B27" s="7" t="s">
        <v>34</v>
      </c>
      <c r="C27" s="30" t="s">
        <v>50</v>
      </c>
      <c r="D27" s="10">
        <f>_xlfn.XLOOKUP($A27,Runs!$A$2:$A$60,Runs!B$2:B$60) - D$3</f>
        <v>-1.4151084677743841E-2</v>
      </c>
      <c r="E27" s="10">
        <f>_xlfn.XLOOKUP($A27,Runs!$A$2:$A$60,Runs!C$2:C$60) - E$3</f>
        <v>-7.3440797244500589E-5</v>
      </c>
      <c r="F27" s="10">
        <f>_xlfn.XLOOKUP($A27,Runs!$A$2:$A$60,Runs!D$2:D$60) - F$3</f>
        <v>-9.3797431322373281E-5</v>
      </c>
      <c r="G27" s="10">
        <f>_xlfn.XLOOKUP($A27,Runs!$A$2:$A$60,Runs!E$2:E$60) - G$3</f>
        <v>-9.9168633113655424E-6</v>
      </c>
      <c r="H27" s="10">
        <f>_xlfn.XLOOKUP($A27,Runs!$A$2:$A$60,Runs!F$2:F$60) - H$3</f>
        <v>-5.8697538183730136E-5</v>
      </c>
      <c r="I27" s="10">
        <f>_xlfn.XLOOKUP($A27,Runs!$A$2:$A$60,Runs!G$2:G$60) - I$3</f>
        <v>1.7740662989899902E-4</v>
      </c>
    </row>
    <row r="28" spans="1:9" ht="3.6" customHeight="1" thickBot="1" x14ac:dyDescent="0.35">
      <c r="A28" s="13"/>
      <c r="B28" s="6"/>
      <c r="C28" s="33"/>
      <c r="D28" s="10"/>
      <c r="E28" s="10"/>
      <c r="F28" s="10"/>
      <c r="G28" s="10"/>
      <c r="H28" s="10"/>
      <c r="I28" s="10"/>
    </row>
    <row r="29" spans="1:9" ht="15.75" thickBot="1" x14ac:dyDescent="0.3">
      <c r="A29" s="15" t="s">
        <v>44</v>
      </c>
      <c r="B29" s="65" t="s">
        <v>35</v>
      </c>
      <c r="C29" s="65"/>
      <c r="D29" s="65"/>
      <c r="E29" s="65"/>
      <c r="F29" s="65"/>
      <c r="G29" s="65"/>
      <c r="H29" s="65"/>
      <c r="I29" s="66"/>
    </row>
    <row r="30" spans="1:9" ht="17.25" customHeight="1" thickBot="1" x14ac:dyDescent="0.35">
      <c r="A30" s="11" t="s">
        <v>11</v>
      </c>
      <c r="B30" s="6" t="s">
        <v>36</v>
      </c>
      <c r="C30" s="32"/>
      <c r="D30" s="10">
        <f>_xlfn.XLOOKUP($A30,Runs!$A$2:$A$60,Runs!B$2:B$60) - D$3</f>
        <v>6.5672940069055885E-4</v>
      </c>
      <c r="E30" s="10">
        <f>_xlfn.XLOOKUP($A30,Runs!$A$2:$A$60,Runs!C$2:C$60) - E$3</f>
        <v>1.001778891646482E-2</v>
      </c>
      <c r="F30" s="10">
        <f>_xlfn.XLOOKUP($A30,Runs!$A$2:$A$60,Runs!D$2:D$60) - F$3</f>
        <v>1.1626012368168515E-2</v>
      </c>
      <c r="G30" s="10">
        <f>_xlfn.XLOOKUP($A30,Runs!$A$2:$A$60,Runs!E$2:E$60) - G$3</f>
        <v>3.6801429998423174E-4</v>
      </c>
      <c r="H30" s="10">
        <f>_xlfn.XLOOKUP($A30,Runs!$A$2:$A$60,Runs!F$2:F$60) - H$3</f>
        <v>0</v>
      </c>
      <c r="I30" s="10">
        <f>_xlfn.XLOOKUP($A30,Runs!$A$2:$A$60,Runs!G$2:G$60) - I$3</f>
        <v>5.8383098946929168E-5</v>
      </c>
    </row>
    <row r="31" spans="1:9" ht="15.75" customHeight="1" thickBot="1" x14ac:dyDescent="0.35">
      <c r="A31" s="11" t="s">
        <v>12</v>
      </c>
      <c r="B31" s="6" t="s">
        <v>37</v>
      </c>
      <c r="C31" s="32"/>
      <c r="D31" s="10">
        <f>_xlfn.XLOOKUP($A31,Runs!$A$2:$A$60,Runs!B$2:B$60) - D$3</f>
        <v>4.5076841217939201E-4</v>
      </c>
      <c r="E31" s="10">
        <f>_xlfn.XLOOKUP($A31,Runs!$A$2:$A$60,Runs!C$2:C$60) - E$3</f>
        <v>5.2989713672096095E-3</v>
      </c>
      <c r="F31" s="10">
        <f>_xlfn.XLOOKUP($A31,Runs!$A$2:$A$60,Runs!D$2:D$60) - F$3</f>
        <v>5.8698614875846156E-3</v>
      </c>
      <c r="G31" s="10">
        <f>_xlfn.XLOOKUP($A31,Runs!$A$2:$A$60,Runs!E$2:E$60) - G$3</f>
        <v>3.6801429998423174E-4</v>
      </c>
      <c r="H31" s="10">
        <f>_xlfn.XLOOKUP($A31,Runs!$A$2:$A$60,Runs!F$2:F$60) - H$3</f>
        <v>0</v>
      </c>
      <c r="I31" s="10">
        <f>_xlfn.XLOOKUP($A31,Runs!$A$2:$A$60,Runs!G$2:G$60) - I$3</f>
        <v>5.8383098946929168E-5</v>
      </c>
    </row>
    <row r="32" spans="1:9" ht="19.5" thickBot="1" x14ac:dyDescent="0.35">
      <c r="A32" s="11" t="s">
        <v>13</v>
      </c>
      <c r="B32" s="6" t="s">
        <v>38</v>
      </c>
      <c r="C32" s="29" t="s">
        <v>50</v>
      </c>
      <c r="D32" s="10">
        <f>_xlfn.XLOOKUP($A32,Runs!$A$2:$A$60,Runs!B$2:B$60) - D$3</f>
        <v>1.196067967368486E-3</v>
      </c>
      <c r="E32" s="10">
        <f>_xlfn.XLOOKUP($A32,Runs!$A$2:$A$60,Runs!C$2:C$60) - E$3</f>
        <v>2.0457131699384651E-2</v>
      </c>
      <c r="F32" s="10">
        <f>_xlfn.XLOOKUP($A32,Runs!$A$2:$A$60,Runs!D$2:D$60) - F$3</f>
        <v>2.4519869146921336E-2</v>
      </c>
      <c r="G32" s="10">
        <f>_xlfn.XLOOKUP($A32,Runs!$A$2:$A$60,Runs!E$2:E$60) - G$3</f>
        <v>3.8437380777128771E-4</v>
      </c>
      <c r="H32" s="10">
        <f>_xlfn.XLOOKUP($A32,Runs!$A$2:$A$60,Runs!F$2:F$60) - H$3</f>
        <v>5.1431155445591514E-6</v>
      </c>
      <c r="I32" s="10">
        <f>_xlfn.XLOOKUP($A32,Runs!$A$2:$A$60,Runs!G$2:G$60) - I$3</f>
        <v>5.8383098946929168E-5</v>
      </c>
    </row>
    <row r="33" spans="1:9" ht="19.5" thickBot="1" x14ac:dyDescent="0.35">
      <c r="A33" s="11" t="s">
        <v>14</v>
      </c>
      <c r="B33" s="6" t="s">
        <v>39</v>
      </c>
      <c r="C33" s="58"/>
      <c r="D33" s="10">
        <f>_xlfn.XLOOKUP($A33,Runs!$A$2:$A$60,Runs!B$2:B$60) - D$3</f>
        <v>1.1587122409302264E-3</v>
      </c>
      <c r="E33" s="10">
        <f>_xlfn.XLOOKUP($A33,Runs!$A$2:$A$60,Runs!C$2:C$60) - E$3</f>
        <v>2.0432284910826659E-2</v>
      </c>
      <c r="F33" s="10">
        <f>_xlfn.XLOOKUP($A33,Runs!$A$2:$A$60,Runs!D$2:D$60) - F$3</f>
        <v>2.4545931174547064E-2</v>
      </c>
      <c r="G33" s="10">
        <f>_xlfn.XLOOKUP($A33,Runs!$A$2:$A$60,Runs!E$2:E$60) - G$3</f>
        <v>1.0479221529010041E-3</v>
      </c>
      <c r="H33" s="10">
        <f>_xlfn.XLOOKUP($A33,Runs!$A$2:$A$60,Runs!F$2:F$60) - H$3</f>
        <v>5.1431155445591514E-6</v>
      </c>
      <c r="I33" s="10">
        <f>_xlfn.XLOOKUP($A33,Runs!$A$2:$A$60,Runs!G$2:G$60) - I$3</f>
        <v>7.0285452042129215E-5</v>
      </c>
    </row>
    <row r="34" spans="1:9" ht="19.5" thickBot="1" x14ac:dyDescent="0.35">
      <c r="A34" s="13" t="s">
        <v>94</v>
      </c>
      <c r="B34" s="6" t="s">
        <v>96</v>
      </c>
      <c r="C34" s="32"/>
      <c r="D34" s="10">
        <f>_xlfn.XLOOKUP($A34,Runs!$A$2:$A$60,Runs!B$2:B$60) - D$3</f>
        <v>5.8836994959909905E-4</v>
      </c>
      <c r="E34" s="10">
        <f>_xlfn.XLOOKUP($A34,Runs!$A$2:$A$60,Runs!C$2:C$60) - E$3</f>
        <v>5.3066033308133143E-3</v>
      </c>
      <c r="F34" s="10">
        <f>_xlfn.XLOOKUP($A34,Runs!$A$2:$A$60,Runs!D$2:D$60) - F$3</f>
        <v>5.8724679958501724E-3</v>
      </c>
      <c r="G34" s="10">
        <f>_xlfn.XLOOKUP($A34,Runs!$A$2:$A$60,Runs!E$2:E$60) - G$3</f>
        <v>6.4723425515977873E-4</v>
      </c>
      <c r="H34" s="10">
        <f>_xlfn.XLOOKUP($A34,Runs!$A$2:$A$60,Runs!F$2:F$60) - H$3</f>
        <v>0</v>
      </c>
      <c r="I34" s="10">
        <f>_xlfn.XLOOKUP($A34,Runs!$A$2:$A$60,Runs!G$2:G$60) - I$3</f>
        <v>5.8383098946929168E-5</v>
      </c>
    </row>
    <row r="35" spans="1:9" ht="19.5" thickBot="1" x14ac:dyDescent="0.35">
      <c r="A35" s="13" t="s">
        <v>95</v>
      </c>
      <c r="B35" s="6" t="s">
        <v>97</v>
      </c>
      <c r="C35" s="29"/>
      <c r="D35" s="10">
        <f>_xlfn.XLOOKUP($A35,Runs!$A$2:$A$60,Runs!B$2:B$60) - D$3</f>
        <v>1.3080522561810803E-3</v>
      </c>
      <c r="E35" s="10">
        <f>_xlfn.XLOOKUP($A35,Runs!$A$2:$A$60,Runs!C$2:C$60) - E$3</f>
        <v>2.8073812063779263E-2</v>
      </c>
      <c r="F35" s="10">
        <f>_xlfn.XLOOKUP($A35,Runs!$A$2:$A$60,Runs!D$2:D$60) - F$3</f>
        <v>3.3961873852143665E-2</v>
      </c>
      <c r="G35" s="10">
        <f>_xlfn.XLOOKUP($A35,Runs!$A$2:$A$60,Runs!E$2:E$60) - G$3</f>
        <v>6.5716839282903283E-4</v>
      </c>
      <c r="H35" s="10">
        <f>_xlfn.XLOOKUP($A35,Runs!$A$2:$A$60,Runs!F$2:F$60) - H$3</f>
        <v>5.1431155445591514E-6</v>
      </c>
      <c r="I35" s="10">
        <f>_xlfn.XLOOKUP($A35,Runs!$A$2:$A$60,Runs!G$2:G$60) - I$3</f>
        <v>5.8383098946929168E-5</v>
      </c>
    </row>
    <row r="36" spans="1:9" ht="2.4500000000000002" customHeight="1" thickBot="1" x14ac:dyDescent="0.35">
      <c r="C36" s="31" t="str">
        <f>IF(COUNTIF(C30:C33,"x") &gt; 1, "Please select one scenario per area",  "")</f>
        <v/>
      </c>
      <c r="D36" s="9"/>
      <c r="E36" s="9"/>
      <c r="F36" s="9"/>
      <c r="G36" s="9"/>
      <c r="H36" s="9"/>
      <c r="I36" s="9"/>
    </row>
    <row r="37" spans="1:9" ht="15.75" thickBot="1" x14ac:dyDescent="0.3">
      <c r="A37" s="15" t="s">
        <v>44</v>
      </c>
      <c r="B37" s="65" t="s">
        <v>40</v>
      </c>
      <c r="C37" s="65"/>
      <c r="D37" s="65"/>
      <c r="E37" s="65"/>
      <c r="F37" s="65"/>
      <c r="G37" s="65"/>
      <c r="H37" s="65"/>
      <c r="I37" s="66"/>
    </row>
    <row r="38" spans="1:9" ht="19.5" thickBot="1" x14ac:dyDescent="0.35">
      <c r="A38" s="11" t="s">
        <v>15</v>
      </c>
      <c r="B38" s="6" t="s">
        <v>41</v>
      </c>
      <c r="C38" s="32" t="s">
        <v>50</v>
      </c>
      <c r="D38" s="10">
        <f>_xlfn.XLOOKUP($A38,Runs!$A$2:$A$60,Runs!B$2:B$60) - D$3</f>
        <v>4.5441949484357202E-3</v>
      </c>
      <c r="E38" s="10">
        <f>_xlfn.XLOOKUP($A38,Runs!$A$2:$A$60,Runs!C$2:C$60) - E$3</f>
        <v>6.5424671917713451E-3</v>
      </c>
      <c r="F38" s="10">
        <f>_xlfn.XLOOKUP($A38,Runs!$A$2:$A$60,Runs!D$2:D$60) - F$3</f>
        <v>6.9336336592897285E-3</v>
      </c>
      <c r="G38" s="10">
        <f>_xlfn.XLOOKUP($A38,Runs!$A$2:$A$60,Runs!E$2:E$60) - G$3</f>
        <v>1.3961715099342298E-2</v>
      </c>
      <c r="H38" s="10">
        <f>_xlfn.XLOOKUP($A38,Runs!$A$2:$A$60,Runs!F$2:F$60) - H$3</f>
        <v>7.7123096028409999E-4</v>
      </c>
      <c r="I38" s="10">
        <f>_xlfn.XLOOKUP($A38,Runs!$A$2:$A$60,Runs!G$2:G$60) - I$3</f>
        <v>5.3220722066046888E-4</v>
      </c>
    </row>
    <row r="39" spans="1:9" ht="19.5" thickBot="1" x14ac:dyDescent="0.35">
      <c r="A39" s="11" t="s">
        <v>16</v>
      </c>
      <c r="B39" s="6" t="s">
        <v>42</v>
      </c>
      <c r="C39" s="29"/>
      <c r="D39" s="10">
        <f>_xlfn.XLOOKUP($A39,Runs!$A$2:$A$60,Runs!B$2:B$60) - D$3</f>
        <v>-3.7424697780249483E-3</v>
      </c>
      <c r="E39" s="10">
        <f>_xlfn.XLOOKUP($A39,Runs!$A$2:$A$60,Runs!C$2:C$60) - E$3</f>
        <v>-1.9425731718728245E-3</v>
      </c>
      <c r="F39" s="10">
        <f>_xlfn.XLOOKUP($A39,Runs!$A$2:$A$60,Runs!D$2:D$60) - F$3</f>
        <v>-1.9562617099851132E-3</v>
      </c>
      <c r="G39" s="10">
        <f>_xlfn.XLOOKUP($A39,Runs!$A$2:$A$60,Runs!E$2:E$60) - G$3</f>
        <v>-3.7130774326522009E-3</v>
      </c>
      <c r="H39" s="10">
        <f>_xlfn.XLOOKUP($A39,Runs!$A$2:$A$60,Runs!F$2:F$60) - H$3</f>
        <v>-3.1406015309690116E-4</v>
      </c>
      <c r="I39" s="10">
        <f>_xlfn.XLOOKUP($A39,Runs!$A$2:$A$60,Runs!G$2:G$60) - I$3</f>
        <v>-6.0640432005140688E-5</v>
      </c>
    </row>
    <row r="40" spans="1:9" ht="19.5" thickBot="1" x14ac:dyDescent="0.35">
      <c r="A40" s="11" t="s">
        <v>17</v>
      </c>
      <c r="B40" s="6" t="s">
        <v>43</v>
      </c>
      <c r="C40" s="32"/>
      <c r="D40" s="10">
        <f>_xlfn.XLOOKUP($A40,Runs!$A$2:$A$60,Runs!B$2:B$60) - D$3</f>
        <v>3.0346350749560491E-3</v>
      </c>
      <c r="E40" s="10">
        <f>_xlfn.XLOOKUP($A40,Runs!$A$2:$A$60,Runs!C$2:C$60) - E$3</f>
        <v>4.5047463707258706E-3</v>
      </c>
      <c r="F40" s="10">
        <f>_xlfn.XLOOKUP($A40,Runs!$A$2:$A$60,Runs!D$2:D$60) - F$3</f>
        <v>4.7512860556611636E-3</v>
      </c>
      <c r="G40" s="10">
        <f>_xlfn.XLOOKUP($A40,Runs!$A$2:$A$60,Runs!E$2:E$60) - G$3</f>
        <v>9.6243910356997309E-3</v>
      </c>
      <c r="H40" s="10">
        <f>_xlfn.XLOOKUP($A40,Runs!$A$2:$A$60,Runs!F$2:F$60) - H$3</f>
        <v>5.7452920523462514E-4</v>
      </c>
      <c r="I40" s="10">
        <f>_xlfn.XLOOKUP($A40,Runs!$A$2:$A$60,Runs!G$2:G$60) - I$3</f>
        <v>3.786134595973184E-4</v>
      </c>
    </row>
    <row r="41" spans="1:9" ht="19.5" thickBot="1" x14ac:dyDescent="0.35">
      <c r="A41" s="13" t="s">
        <v>92</v>
      </c>
      <c r="B41" s="57" t="s">
        <v>93</v>
      </c>
      <c r="C41" s="29"/>
      <c r="D41" s="10">
        <f>_xlfn.XLOOKUP($A41,Runs!$A$2:$A$60,Runs!B$2:B$60) - D$3</f>
        <v>3.9003738558024414E-4</v>
      </c>
      <c r="E41" s="10">
        <f>_xlfn.XLOOKUP($A41,Runs!$A$2:$A$60,Runs!C$2:C$60) - E$3</f>
        <v>3.6291652919831496E-4</v>
      </c>
      <c r="F41" s="10">
        <f>_xlfn.XLOOKUP($A41,Runs!$A$2:$A$60,Runs!D$2:D$60) - F$3</f>
        <v>3.8861410483240211E-4</v>
      </c>
      <c r="G41" s="10">
        <f>_xlfn.XLOOKUP($A41,Runs!$A$2:$A$60,Runs!E$2:E$60) - G$3</f>
        <v>1.8137847642079596E-3</v>
      </c>
      <c r="H41" s="10">
        <f>_xlfn.XLOOKUP($A41,Runs!$A$2:$A$60,Runs!F$2:F$60) - H$3</f>
        <v>5.8690044562159649E-5</v>
      </c>
      <c r="I41" s="10">
        <f>_xlfn.XLOOKUP($A41,Runs!$A$2:$A$60,Runs!G$2:G$60) - I$3</f>
        <v>2.3804989525796905E-5</v>
      </c>
    </row>
    <row r="42" spans="1:9" ht="14.25" customHeight="1" thickBot="1" x14ac:dyDescent="0.3">
      <c r="A42" s="15" t="s">
        <v>44</v>
      </c>
      <c r="B42" s="65" t="s">
        <v>103</v>
      </c>
      <c r="C42" s="65"/>
      <c r="D42" s="65"/>
      <c r="E42" s="65"/>
      <c r="F42" s="65"/>
      <c r="G42" s="65"/>
      <c r="H42" s="65"/>
      <c r="I42" s="66"/>
    </row>
    <row r="43" spans="1:9" ht="19.5" thickBot="1" x14ac:dyDescent="0.35">
      <c r="A43" s="12" t="s">
        <v>102</v>
      </c>
      <c r="B43" s="7" t="s">
        <v>104</v>
      </c>
      <c r="C43" s="30" t="s">
        <v>50</v>
      </c>
      <c r="D43" s="10">
        <f>_xlfn.XLOOKUP($A43,Runs!$A$2:$A$60,Runs!B$2:B$60) - D$3</f>
        <v>1.431440685643659E-3</v>
      </c>
      <c r="E43" s="10">
        <f>_xlfn.XLOOKUP($A43,Runs!$A$2:$A$60,Runs!C$2:C$60) - E$3</f>
        <v>6.1189865365013363E-4</v>
      </c>
      <c r="F43" s="10">
        <f>_xlfn.XLOOKUP($A43,Runs!$A$2:$A$60,Runs!D$2:D$60) - F$3</f>
        <v>6.5479848306726485E-4</v>
      </c>
      <c r="G43" s="10">
        <f>_xlfn.XLOOKUP($A43,Runs!$A$2:$A$60,Runs!E$2:E$60) - G$3</f>
        <v>8.1042636963734593E-3</v>
      </c>
      <c r="H43" s="10">
        <f>_xlfn.XLOOKUP($A43,Runs!$A$2:$A$60,Runs!F$2:F$60) - H$3</f>
        <v>5.0034317203175027E-4</v>
      </c>
      <c r="I43" s="10">
        <f>_xlfn.XLOOKUP($A43,Runs!$A$2:$A$60,Runs!G$2:G$60) - I$3</f>
        <v>2.1424490573224153E-4</v>
      </c>
    </row>
    <row r="44" spans="1:9" ht="19.5" thickBot="1" x14ac:dyDescent="0.35">
      <c r="C44" s="31" t="str">
        <f>IF(COUNTIF(C38:C40,"x") &gt; 1, "Please select one scenario per area",  "")</f>
        <v/>
      </c>
      <c r="D44" s="9"/>
      <c r="E44" s="9"/>
      <c r="F44" s="9"/>
      <c r="G44" s="9"/>
      <c r="H44" s="9"/>
      <c r="I44" s="9"/>
    </row>
    <row r="45" spans="1:9" ht="19.5" thickBot="1" x14ac:dyDescent="0.35">
      <c r="C45" s="34" t="s">
        <v>49</v>
      </c>
      <c r="D45" s="63">
        <f>SUMIF($C$8:$C$43, "x", D8:D43)</f>
        <v>-7.1647355899151499E-3</v>
      </c>
      <c r="E45" s="63">
        <f t="shared" ref="E45:I45" si="1">SUMIF($C$8:$C$43, "x", E8:E43)</f>
        <v>2.5822414818967576E-2</v>
      </c>
      <c r="F45" s="63">
        <f t="shared" si="1"/>
        <v>3.0176088957350466E-2</v>
      </c>
      <c r="G45" s="63">
        <f t="shared" si="1"/>
        <v>2.048870728617308E-2</v>
      </c>
      <c r="H45" s="63">
        <f t="shared" si="1"/>
        <v>-3.6822812807682653E-3</v>
      </c>
      <c r="I45" s="63">
        <f t="shared" si="1"/>
        <v>2.3353137079872022E-4</v>
      </c>
    </row>
  </sheetData>
  <mergeCells count="7">
    <mergeCell ref="B42:I42"/>
    <mergeCell ref="B37:I37"/>
    <mergeCell ref="B29:I29"/>
    <mergeCell ref="B7:I7"/>
    <mergeCell ref="B13:I13"/>
    <mergeCell ref="B19:I19"/>
    <mergeCell ref="B26:I26"/>
  </mergeCells>
  <conditionalFormatting sqref="D5:D6">
    <cfRule type="cellIs" dxfId="5" priority="6" operator="greaterThan">
      <formula>$D$4</formula>
    </cfRule>
  </conditionalFormatting>
  <conditionalFormatting sqref="E5:E6">
    <cfRule type="cellIs" dxfId="4" priority="5" operator="greaterThan">
      <formula>$E$4</formula>
    </cfRule>
  </conditionalFormatting>
  <conditionalFormatting sqref="F5:F6">
    <cfRule type="cellIs" dxfId="3" priority="4" operator="greaterThan">
      <formula>$F$4</formula>
    </cfRule>
  </conditionalFormatting>
  <conditionalFormatting sqref="G5:G6">
    <cfRule type="cellIs" dxfId="2" priority="3" operator="greaterThan">
      <formula>$G$4</formula>
    </cfRule>
  </conditionalFormatting>
  <conditionalFormatting sqref="H5:H6">
    <cfRule type="cellIs" dxfId="1" priority="2" operator="greaterThan">
      <formula>$H$4</formula>
    </cfRule>
  </conditionalFormatting>
  <conditionalFormatting sqref="I5:I6">
    <cfRule type="cellIs" dxfId="0" priority="1" operator="greaterThan">
      <formula>$I$4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E0F88-EE4D-4F79-8A15-A168B7B50F44}">
  <dimension ref="A1:AD56"/>
  <sheetViews>
    <sheetView workbookViewId="0">
      <selection activeCell="J58" sqref="J58"/>
    </sheetView>
  </sheetViews>
  <sheetFormatPr defaultRowHeight="15" x14ac:dyDescent="0.25"/>
  <cols>
    <col min="2" max="2" width="54.85546875" customWidth="1"/>
    <col min="6" max="6" width="15.5703125" customWidth="1"/>
    <col min="13" max="13" width="10.5703125" customWidth="1"/>
    <col min="14" max="16" width="1.140625" customWidth="1"/>
    <col min="17" max="18" width="10.5703125" customWidth="1"/>
    <col min="19" max="23" width="0.7109375" customWidth="1"/>
    <col min="24" max="24" width="10.5703125" customWidth="1"/>
    <col min="25" max="27" width="1.140625" customWidth="1"/>
    <col min="28" max="29" width="10.5703125" customWidth="1"/>
  </cols>
  <sheetData>
    <row r="1" spans="1:30" ht="15.75" x14ac:dyDescent="0.25">
      <c r="M1" s="36" t="s">
        <v>53</v>
      </c>
      <c r="N1" s="37"/>
      <c r="O1" s="37"/>
      <c r="P1" s="38" t="s">
        <v>53</v>
      </c>
      <c r="Q1" s="36" t="s">
        <v>54</v>
      </c>
      <c r="R1" s="39" t="s">
        <v>55</v>
      </c>
      <c r="S1" s="37" t="s">
        <v>56</v>
      </c>
      <c r="T1" s="37"/>
      <c r="U1" s="37" t="s">
        <v>56</v>
      </c>
      <c r="V1" s="37"/>
      <c r="W1" s="37"/>
      <c r="X1" s="36" t="s">
        <v>57</v>
      </c>
      <c r="Y1" s="37"/>
      <c r="Z1" s="37"/>
      <c r="AA1" s="37" t="s">
        <v>57</v>
      </c>
      <c r="AB1" s="36" t="s">
        <v>58</v>
      </c>
      <c r="AC1" s="37" t="s">
        <v>18</v>
      </c>
    </row>
    <row r="2" spans="1:30" ht="15.75" x14ac:dyDescent="0.25">
      <c r="M2" s="40" t="s">
        <v>59</v>
      </c>
      <c r="N2" s="41" t="s">
        <v>60</v>
      </c>
      <c r="O2" s="41" t="s">
        <v>61</v>
      </c>
      <c r="P2" s="41" t="s">
        <v>62</v>
      </c>
      <c r="Q2" s="40" t="s">
        <v>59</v>
      </c>
      <c r="R2" s="42" t="s">
        <v>59</v>
      </c>
      <c r="S2" s="41" t="s">
        <v>60</v>
      </c>
      <c r="T2" s="41" t="s">
        <v>61</v>
      </c>
      <c r="U2" s="41" t="s">
        <v>62</v>
      </c>
      <c r="V2" s="37"/>
      <c r="W2" s="41" t="s">
        <v>63</v>
      </c>
      <c r="X2" s="40" t="s">
        <v>59</v>
      </c>
      <c r="Y2" s="41" t="s">
        <v>60</v>
      </c>
      <c r="Z2" s="41" t="s">
        <v>61</v>
      </c>
      <c r="AA2" s="41" t="s">
        <v>62</v>
      </c>
      <c r="AB2" s="40" t="s">
        <v>59</v>
      </c>
    </row>
    <row r="3" spans="1:30" ht="15.75" x14ac:dyDescent="0.25">
      <c r="M3" s="36"/>
      <c r="N3" s="37"/>
      <c r="O3" s="37"/>
      <c r="P3" s="37"/>
      <c r="Q3" s="36"/>
      <c r="R3" s="39"/>
      <c r="S3" s="37"/>
      <c r="T3" s="37"/>
      <c r="U3" s="37"/>
      <c r="V3" s="37"/>
      <c r="W3" s="37"/>
      <c r="X3" s="36"/>
      <c r="Y3" s="37"/>
      <c r="Z3" s="37"/>
      <c r="AA3" s="37"/>
      <c r="AB3" s="36"/>
    </row>
    <row r="4" spans="1:30" ht="15.75" x14ac:dyDescent="0.25">
      <c r="M4" s="36"/>
      <c r="N4" s="37"/>
      <c r="O4" s="37"/>
      <c r="P4" s="37"/>
      <c r="Q4" s="36"/>
      <c r="R4" s="39"/>
      <c r="S4" s="37"/>
      <c r="T4" s="37"/>
      <c r="U4" s="37"/>
      <c r="V4" s="37"/>
      <c r="W4" s="37"/>
      <c r="X4" s="36"/>
      <c r="Y4" s="37"/>
      <c r="Z4" s="37"/>
      <c r="AA4" s="37"/>
      <c r="AB4" s="36"/>
    </row>
    <row r="5" spans="1:30" ht="15.75" x14ac:dyDescent="0.25">
      <c r="E5" s="2">
        <v>433</v>
      </c>
      <c r="F5" s="2">
        <v>2881</v>
      </c>
      <c r="G5" s="2">
        <v>15248</v>
      </c>
      <c r="H5" s="2" t="s">
        <v>64</v>
      </c>
      <c r="M5" s="43">
        <v>0.45688438293914663</v>
      </c>
      <c r="N5" s="44"/>
      <c r="O5" s="44"/>
      <c r="P5" s="45"/>
      <c r="Q5" s="43">
        <v>0.22606400527878587</v>
      </c>
      <c r="R5" s="46">
        <v>0.19407538756405074</v>
      </c>
      <c r="S5" s="44"/>
      <c r="T5" s="44"/>
      <c r="U5" s="44"/>
      <c r="V5" s="44"/>
      <c r="W5" s="44" t="s">
        <v>52</v>
      </c>
      <c r="X5" s="43">
        <v>0.37726723095525999</v>
      </c>
      <c r="Y5" s="44"/>
      <c r="Z5" s="44"/>
      <c r="AA5" s="44"/>
      <c r="AB5" s="43">
        <v>8.0561761889562725E-2</v>
      </c>
      <c r="AC5" s="47">
        <v>9.482717577604266E-2</v>
      </c>
      <c r="AD5" s="47"/>
    </row>
    <row r="6" spans="1:30" x14ac:dyDescent="0.25">
      <c r="A6" t="s">
        <v>65</v>
      </c>
      <c r="B6" s="2" t="s">
        <v>66</v>
      </c>
      <c r="D6" t="s">
        <v>67</v>
      </c>
      <c r="E6" t="s">
        <v>68</v>
      </c>
      <c r="F6" t="s">
        <v>69</v>
      </c>
      <c r="G6" t="s">
        <v>70</v>
      </c>
      <c r="H6" t="s">
        <v>71</v>
      </c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</row>
    <row r="7" spans="1:30" x14ac:dyDescent="0.25">
      <c r="A7" t="s">
        <v>0</v>
      </c>
      <c r="B7" s="48" t="s">
        <v>24</v>
      </c>
      <c r="C7" s="48"/>
      <c r="D7" s="48">
        <v>0</v>
      </c>
      <c r="E7" s="48">
        <v>1561</v>
      </c>
      <c r="F7" s="48">
        <v>3239</v>
      </c>
      <c r="G7" s="48">
        <v>10506</v>
      </c>
      <c r="H7" s="48">
        <v>0</v>
      </c>
      <c r="M7" s="47">
        <v>0.4562712220617901</v>
      </c>
      <c r="N7" s="47"/>
      <c r="O7" s="47"/>
      <c r="P7" s="47"/>
      <c r="Q7" s="47">
        <v>0.22504866541291363</v>
      </c>
      <c r="R7" s="47">
        <v>0.19301928367471999</v>
      </c>
      <c r="S7" s="47"/>
      <c r="T7" s="47"/>
      <c r="U7" s="47"/>
      <c r="V7" s="47"/>
      <c r="W7" s="47" t="s">
        <v>52</v>
      </c>
      <c r="X7" s="47">
        <v>0.37606792671065431</v>
      </c>
      <c r="Y7" s="47"/>
      <c r="Z7" s="47"/>
      <c r="AA7" s="47"/>
      <c r="AB7" s="47">
        <v>7.7630234933605741E-2</v>
      </c>
      <c r="AC7" s="47">
        <v>9.3541706341649211E-2</v>
      </c>
      <c r="AD7" s="47"/>
    </row>
    <row r="8" spans="1:30" x14ac:dyDescent="0.25">
      <c r="A8" t="s">
        <v>1</v>
      </c>
      <c r="B8" s="48" t="s">
        <v>25</v>
      </c>
      <c r="C8" s="48"/>
      <c r="D8" s="48"/>
      <c r="E8" s="48">
        <v>1561</v>
      </c>
      <c r="F8" s="48">
        <v>3239</v>
      </c>
      <c r="G8" s="48">
        <v>6251</v>
      </c>
      <c r="H8" s="48" t="s">
        <v>72</v>
      </c>
      <c r="M8" s="47">
        <v>0.45931244305217284</v>
      </c>
      <c r="N8" s="47"/>
      <c r="O8" s="47"/>
      <c r="P8" s="47"/>
      <c r="Q8" s="47">
        <v>0.22805107393843416</v>
      </c>
      <c r="R8" s="47">
        <v>0.19619295958279009</v>
      </c>
      <c r="S8" s="47"/>
      <c r="T8" s="47"/>
      <c r="U8" s="47"/>
      <c r="V8" s="47"/>
      <c r="W8" s="47" t="s">
        <v>52</v>
      </c>
      <c r="X8" s="47">
        <v>0.38221147528057409</v>
      </c>
      <c r="Y8" s="47"/>
      <c r="Z8" s="47"/>
      <c r="AA8" s="47"/>
      <c r="AB8" s="47">
        <v>8.635986468373015E-2</v>
      </c>
      <c r="AC8" s="47">
        <v>9.8243400852117205E-2</v>
      </c>
      <c r="AD8" s="47"/>
    </row>
    <row r="9" spans="1:30" x14ac:dyDescent="0.25">
      <c r="B9" s="48"/>
      <c r="C9" s="48"/>
      <c r="D9" s="48"/>
      <c r="E9" s="48"/>
      <c r="F9" s="48"/>
      <c r="G9" s="48">
        <v>6312</v>
      </c>
      <c r="H9" s="48" t="s">
        <v>73</v>
      </c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7"/>
    </row>
    <row r="10" spans="1:30" x14ac:dyDescent="0.25">
      <c r="A10" t="s">
        <v>2</v>
      </c>
      <c r="B10" s="48" t="s">
        <v>26</v>
      </c>
      <c r="C10" s="48"/>
      <c r="D10" s="48"/>
      <c r="E10" s="48"/>
      <c r="F10" s="48"/>
      <c r="G10" s="48">
        <v>6251</v>
      </c>
      <c r="H10" s="48" t="s">
        <v>72</v>
      </c>
      <c r="M10" s="47">
        <v>0.45993183791725162</v>
      </c>
      <c r="N10" s="47"/>
      <c r="O10" s="47"/>
      <c r="P10" s="47"/>
      <c r="Q10" s="47">
        <v>0.22852052263428799</v>
      </c>
      <c r="R10" s="47">
        <v>0.19673541759015412</v>
      </c>
      <c r="S10" s="47"/>
      <c r="T10" s="47"/>
      <c r="U10" s="47"/>
      <c r="V10" s="47"/>
      <c r="W10" s="47" t="s">
        <v>52</v>
      </c>
      <c r="X10" s="47">
        <v>0.38316381508055403</v>
      </c>
      <c r="Y10" s="47"/>
      <c r="Z10" s="47"/>
      <c r="AA10" s="47"/>
      <c r="AB10" s="47">
        <v>8.7758488639264734E-2</v>
      </c>
      <c r="AC10" s="47">
        <v>9.8981267702853884E-2</v>
      </c>
      <c r="AD10" s="47"/>
    </row>
    <row r="11" spans="1:30" x14ac:dyDescent="0.25">
      <c r="B11" s="48"/>
      <c r="C11" s="48"/>
      <c r="D11" s="48"/>
      <c r="E11" s="48"/>
      <c r="F11" s="48"/>
      <c r="G11" s="48">
        <v>7066</v>
      </c>
      <c r="H11" s="48" t="s">
        <v>73</v>
      </c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9"/>
      <c r="AD11" s="47"/>
    </row>
    <row r="12" spans="1:30" x14ac:dyDescent="0.25">
      <c r="A12" t="s">
        <v>3</v>
      </c>
      <c r="B12" s="48" t="s">
        <v>27</v>
      </c>
      <c r="C12" s="48"/>
      <c r="D12" s="48"/>
      <c r="E12" s="48"/>
      <c r="F12" s="48"/>
      <c r="G12" s="48">
        <v>6251</v>
      </c>
      <c r="H12" s="48" t="s">
        <v>72</v>
      </c>
      <c r="M12" s="47">
        <v>0.46027269421837791</v>
      </c>
      <c r="N12" s="47"/>
      <c r="O12" s="47"/>
      <c r="P12" s="47"/>
      <c r="Q12" s="47">
        <v>0.22914261208062547</v>
      </c>
      <c r="R12" s="47">
        <v>0.19726738197984431</v>
      </c>
      <c r="S12" s="47"/>
      <c r="T12" s="47"/>
      <c r="U12" s="47"/>
      <c r="V12" s="47"/>
      <c r="W12" s="47" t="s">
        <v>52</v>
      </c>
      <c r="X12" s="47">
        <v>0.38408977425034824</v>
      </c>
      <c r="Y12" s="47"/>
      <c r="Z12" s="47"/>
      <c r="AA12" s="47"/>
      <c r="AB12" s="47">
        <v>8.921506062539887E-2</v>
      </c>
      <c r="AC12" s="47">
        <v>9.9728661874613225E-2</v>
      </c>
      <c r="AD12" s="47"/>
    </row>
    <row r="13" spans="1:30" x14ac:dyDescent="0.25">
      <c r="B13" s="48"/>
      <c r="C13" s="48"/>
      <c r="D13" s="48"/>
      <c r="E13" s="48"/>
      <c r="F13" s="48"/>
      <c r="G13" s="48">
        <v>7820</v>
      </c>
      <c r="H13" s="48" t="s">
        <v>73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</row>
    <row r="14" spans="1:30" x14ac:dyDescent="0.25">
      <c r="E14" s="2">
        <v>44</v>
      </c>
      <c r="F14" s="2">
        <v>717</v>
      </c>
      <c r="G14" s="50">
        <v>5915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</row>
    <row r="15" spans="1:30" ht="14.45" customHeight="1" x14ac:dyDescent="0.25">
      <c r="B15" s="2" t="s">
        <v>74</v>
      </c>
      <c r="D15" t="s">
        <v>67</v>
      </c>
      <c r="E15" t="s">
        <v>68</v>
      </c>
      <c r="F15" t="s">
        <v>69</v>
      </c>
      <c r="G15" t="s">
        <v>70</v>
      </c>
      <c r="H15" t="s">
        <v>71</v>
      </c>
      <c r="I15" s="51" t="s">
        <v>75</v>
      </c>
      <c r="J15" s="51"/>
      <c r="K15" s="51"/>
      <c r="L15" s="51"/>
      <c r="M15" s="52"/>
      <c r="N15" s="52"/>
      <c r="O15" s="52"/>
      <c r="P15" s="52"/>
      <c r="Q15" s="52"/>
      <c r="R15" s="52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</row>
    <row r="16" spans="1:30" x14ac:dyDescent="0.25">
      <c r="A16" t="s">
        <v>4</v>
      </c>
      <c r="B16" t="s">
        <v>28</v>
      </c>
      <c r="D16">
        <v>0</v>
      </c>
      <c r="E16">
        <v>505</v>
      </c>
      <c r="F16">
        <v>532</v>
      </c>
      <c r="G16">
        <v>3454</v>
      </c>
      <c r="I16" s="51"/>
      <c r="J16" s="51"/>
      <c r="K16" s="51"/>
      <c r="L16" s="51"/>
      <c r="M16" s="52">
        <v>0.45688333916387486</v>
      </c>
      <c r="N16" s="52"/>
      <c r="O16" s="52"/>
      <c r="P16" s="52"/>
      <c r="Q16" s="52">
        <v>0.22527218739689869</v>
      </c>
      <c r="R16" s="52">
        <v>0.19323041618858872</v>
      </c>
      <c r="S16" s="49"/>
      <c r="T16" s="49"/>
      <c r="U16" s="49"/>
      <c r="V16" s="49"/>
      <c r="W16" s="49" t="s">
        <v>52</v>
      </c>
      <c r="X16" s="49">
        <v>0.37627822612444467</v>
      </c>
      <c r="Y16" s="49"/>
      <c r="Z16" s="49"/>
      <c r="AA16" s="49"/>
      <c r="AB16" s="49">
        <v>7.8715526046986728E-2</v>
      </c>
      <c r="AC16" s="49">
        <v>9.3851171205484668E-2</v>
      </c>
    </row>
    <row r="17" spans="1:29" x14ac:dyDescent="0.25">
      <c r="A17" t="s">
        <v>5</v>
      </c>
      <c r="B17" s="48" t="s">
        <v>25</v>
      </c>
      <c r="G17">
        <f>2011</f>
        <v>2011</v>
      </c>
      <c r="I17" s="51"/>
      <c r="J17" s="51"/>
      <c r="K17" s="51"/>
      <c r="L17" s="51"/>
      <c r="M17" s="52">
        <v>0.45875694070294276</v>
      </c>
      <c r="N17" s="52"/>
      <c r="O17" s="52"/>
      <c r="P17" s="52"/>
      <c r="Q17" s="52">
        <v>0.22735070933685247</v>
      </c>
      <c r="R17" s="52">
        <v>0.19545235270342509</v>
      </c>
      <c r="S17" s="49"/>
      <c r="T17" s="49"/>
      <c r="U17" s="49"/>
      <c r="V17" s="49"/>
      <c r="W17" s="49" t="s">
        <v>52</v>
      </c>
      <c r="X17" s="49">
        <v>0.38012510513036163</v>
      </c>
      <c r="Y17" s="49"/>
      <c r="Z17" s="49"/>
      <c r="AA17" s="49"/>
      <c r="AB17" s="49">
        <v>8.425352652071233E-2</v>
      </c>
      <c r="AC17" s="49">
        <v>9.692699531075194E-2</v>
      </c>
    </row>
    <row r="18" spans="1:29" x14ac:dyDescent="0.25">
      <c r="B18" s="48"/>
      <c r="G18" s="53">
        <f>774/0.389*1.67</f>
        <v>3322.8277634961437</v>
      </c>
    </row>
    <row r="19" spans="1:29" x14ac:dyDescent="0.25">
      <c r="A19" t="s">
        <v>6</v>
      </c>
      <c r="B19" s="48" t="s">
        <v>26</v>
      </c>
      <c r="G19">
        <v>2011</v>
      </c>
      <c r="M19" s="49">
        <v>0.45924839888966118</v>
      </c>
      <c r="N19" s="49"/>
      <c r="O19" s="49"/>
      <c r="P19" s="49"/>
      <c r="Q19" s="49">
        <v>0.22780508726205007</v>
      </c>
      <c r="R19" s="49">
        <v>0.19589564401100407</v>
      </c>
      <c r="S19" s="49"/>
      <c r="T19" s="49"/>
      <c r="U19" s="49"/>
      <c r="V19" s="49"/>
      <c r="W19" s="49" t="s">
        <v>52</v>
      </c>
      <c r="X19" s="49">
        <v>0.38086727989487523</v>
      </c>
      <c r="Y19" s="49"/>
      <c r="Z19" s="49"/>
      <c r="AA19" s="49"/>
      <c r="AB19" s="49">
        <v>8.5333163135052334E-2</v>
      </c>
      <c r="AC19" s="49">
        <v>9.7520916891803436E-2</v>
      </c>
    </row>
    <row r="20" spans="1:29" x14ac:dyDescent="0.25">
      <c r="B20" s="48"/>
      <c r="G20" s="53">
        <f>774/0.389*1.67+2.02*103/0.389</f>
        <v>3857.6863753213365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</row>
    <row r="21" spans="1:29" x14ac:dyDescent="0.25">
      <c r="A21" t="s">
        <v>7</v>
      </c>
      <c r="B21" s="48" t="s">
        <v>27</v>
      </c>
      <c r="G21" s="53">
        <f>774/0.389*1.67+2.02*206/0.389</f>
        <v>4392.5449871465298</v>
      </c>
      <c r="M21" s="49">
        <v>0.45994734192206449</v>
      </c>
      <c r="N21" s="49"/>
      <c r="O21" s="49"/>
      <c r="P21" s="49"/>
      <c r="Q21" s="49">
        <v>0.2282339744647158</v>
      </c>
      <c r="R21" s="49">
        <v>0.19635733096920549</v>
      </c>
      <c r="S21" s="49"/>
      <c r="T21" s="49"/>
      <c r="U21" s="49"/>
      <c r="V21" s="49"/>
      <c r="W21" s="49" t="s">
        <v>52</v>
      </c>
      <c r="X21" s="49">
        <v>0.3815768725361367</v>
      </c>
      <c r="Y21" s="49"/>
      <c r="Z21" s="49"/>
      <c r="AA21" s="49"/>
      <c r="AB21" s="49">
        <v>8.635986468373015E-2</v>
      </c>
      <c r="AC21" s="49">
        <v>9.811482433590403E-2</v>
      </c>
    </row>
    <row r="22" spans="1:29" x14ac:dyDescent="0.25">
      <c r="E22" s="2">
        <v>91</v>
      </c>
      <c r="F22" s="2">
        <v>488</v>
      </c>
      <c r="G22" s="2">
        <v>3739</v>
      </c>
      <c r="I22" s="2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</row>
    <row r="23" spans="1:29" ht="14.45" customHeight="1" x14ac:dyDescent="0.25">
      <c r="B23" s="2" t="s">
        <v>76</v>
      </c>
      <c r="D23" t="s">
        <v>67</v>
      </c>
      <c r="E23" t="s">
        <v>68</v>
      </c>
      <c r="F23" t="s">
        <v>69</v>
      </c>
      <c r="G23" t="s">
        <v>70</v>
      </c>
      <c r="H23" t="s">
        <v>71</v>
      </c>
      <c r="I23" s="51" t="s">
        <v>77</v>
      </c>
      <c r="J23" s="51"/>
      <c r="K23" s="51"/>
      <c r="L23" s="51"/>
      <c r="M23" s="52"/>
      <c r="N23" s="52"/>
      <c r="O23" s="52"/>
      <c r="P23" s="52"/>
      <c r="Q23" s="52"/>
      <c r="R23" s="52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</row>
    <row r="24" spans="1:29" x14ac:dyDescent="0.25">
      <c r="A24" t="s">
        <v>8</v>
      </c>
      <c r="B24" t="s">
        <v>29</v>
      </c>
      <c r="F24">
        <v>498</v>
      </c>
      <c r="G24">
        <f>6450*0.66</f>
        <v>4257</v>
      </c>
      <c r="I24" s="51"/>
      <c r="J24" s="51"/>
      <c r="K24" s="51"/>
      <c r="L24" s="51"/>
      <c r="M24" s="52">
        <v>0.45954430931657225</v>
      </c>
      <c r="N24" s="52"/>
      <c r="O24" s="52"/>
      <c r="P24" s="52"/>
      <c r="Q24" s="52">
        <v>0.22671637359374483</v>
      </c>
      <c r="R24" s="52">
        <v>0.19476133978278726</v>
      </c>
      <c r="S24" s="49"/>
      <c r="T24" s="49"/>
      <c r="U24" s="49"/>
      <c r="V24" s="49"/>
      <c r="W24" s="49" t="s">
        <v>52</v>
      </c>
      <c r="X24" s="49">
        <v>0.37822989774728594</v>
      </c>
      <c r="Y24" s="49"/>
      <c r="Z24" s="49"/>
      <c r="AA24" s="49"/>
      <c r="AB24" s="49">
        <v>8.0503064351378967E-2</v>
      </c>
      <c r="AC24" s="49">
        <v>0.10476836480906311</v>
      </c>
    </row>
    <row r="25" spans="1:29" x14ac:dyDescent="0.25">
      <c r="A25" t="s">
        <v>9</v>
      </c>
      <c r="B25" s="68" t="s">
        <v>78</v>
      </c>
      <c r="F25">
        <v>258</v>
      </c>
      <c r="G25">
        <f>6450*0.66</f>
        <v>4257</v>
      </c>
      <c r="M25" s="49">
        <v>0.4589797358688813</v>
      </c>
      <c r="N25" s="49"/>
      <c r="O25" s="49"/>
      <c r="P25" s="49"/>
      <c r="Q25" s="49">
        <v>0.22671637359374483</v>
      </c>
      <c r="R25" s="49">
        <v>0.19474830180315258</v>
      </c>
      <c r="S25" s="49"/>
      <c r="T25" s="49"/>
      <c r="U25" s="49"/>
      <c r="V25" s="49"/>
      <c r="W25" s="49" t="s">
        <v>52</v>
      </c>
      <c r="X25" s="49">
        <v>0.37816738513300385</v>
      </c>
      <c r="Y25" s="49"/>
      <c r="Z25" s="49"/>
      <c r="AA25" s="49"/>
      <c r="AB25" s="49">
        <v>8.0503064351378967E-2</v>
      </c>
      <c r="AC25" s="49">
        <v>0.10400104726995764</v>
      </c>
    </row>
    <row r="26" spans="1:29" x14ac:dyDescent="0.25">
      <c r="B26" s="68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</row>
    <row r="27" spans="1:29" x14ac:dyDescent="0.25">
      <c r="A27" t="s">
        <v>105</v>
      </c>
      <c r="B27" s="64" t="s">
        <v>106</v>
      </c>
      <c r="F27">
        <f>F25</f>
        <v>258</v>
      </c>
      <c r="G27" s="53">
        <f>3721 * 0.66</f>
        <v>2455.86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</row>
    <row r="28" spans="1:29" x14ac:dyDescent="0.25">
      <c r="A28" t="s">
        <v>98</v>
      </c>
      <c r="B28" s="59" t="s">
        <v>100</v>
      </c>
      <c r="F28">
        <v>978</v>
      </c>
      <c r="G28" s="53">
        <f>3721 * 0.66</f>
        <v>2455.86</v>
      </c>
      <c r="M28" s="49">
        <v>0.45829993929987045</v>
      </c>
      <c r="N28" s="49"/>
      <c r="O28" s="49"/>
      <c r="P28" s="49"/>
      <c r="Q28" s="49">
        <v>0.22612999010227647</v>
      </c>
      <c r="R28" s="49">
        <v>0.19416159271959216</v>
      </c>
      <c r="S28" s="49"/>
      <c r="T28" s="49"/>
      <c r="U28" s="49"/>
      <c r="V28" s="49"/>
      <c r="W28" s="49" t="s">
        <v>52</v>
      </c>
      <c r="X28" s="49">
        <v>0.37769424876458835</v>
      </c>
      <c r="Y28" s="49"/>
      <c r="Z28" s="49"/>
      <c r="AA28" s="49"/>
      <c r="AB28" s="49">
        <v>8.04443593181383E-2</v>
      </c>
      <c r="AC28" s="49">
        <v>9.8042249330556386E-2</v>
      </c>
    </row>
    <row r="29" spans="1:29" x14ac:dyDescent="0.25">
      <c r="A29" t="s">
        <v>99</v>
      </c>
      <c r="B29" s="59" t="s">
        <v>101</v>
      </c>
      <c r="F29">
        <v>978</v>
      </c>
      <c r="G29" s="53">
        <f>5204*0.66</f>
        <v>3434.6400000000003</v>
      </c>
      <c r="M29" s="49">
        <v>0.45927063493317194</v>
      </c>
      <c r="N29" s="49"/>
      <c r="O29" s="49"/>
      <c r="P29" s="49"/>
      <c r="Q29" s="49">
        <v>0.22647796252309318</v>
      </c>
      <c r="R29" s="49">
        <v>0.19449804432855278</v>
      </c>
      <c r="S29" s="49"/>
      <c r="T29" s="49"/>
      <c r="U29" s="49"/>
      <c r="V29" s="49"/>
      <c r="W29" s="49" t="s">
        <v>52</v>
      </c>
      <c r="X29" s="49">
        <v>0.37800325955522845</v>
      </c>
      <c r="Y29" s="49"/>
      <c r="Z29" s="49"/>
      <c r="AA29" s="49"/>
      <c r="AB29" s="49">
        <v>8.0503064351378967E-2</v>
      </c>
      <c r="AC29" s="49">
        <v>0.10220037843176923</v>
      </c>
    </row>
    <row r="30" spans="1:29" x14ac:dyDescent="0.25">
      <c r="B30" s="5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</row>
    <row r="31" spans="1:29" x14ac:dyDescent="0.25">
      <c r="B31" s="51"/>
      <c r="F31" s="2">
        <v>249</v>
      </c>
      <c r="G31" s="2">
        <v>2752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spans="1:29" x14ac:dyDescent="0.25">
      <c r="A32" t="s">
        <v>79</v>
      </c>
      <c r="B32" s="2" t="s">
        <v>33</v>
      </c>
      <c r="D32" t="s">
        <v>67</v>
      </c>
      <c r="E32" t="s">
        <v>68</v>
      </c>
      <c r="F32" t="s">
        <v>69</v>
      </c>
      <c r="G32" t="s">
        <v>70</v>
      </c>
      <c r="H32" t="s">
        <v>71</v>
      </c>
      <c r="I32" s="1" t="s">
        <v>80</v>
      </c>
      <c r="J32" s="1"/>
      <c r="K32" s="1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</row>
    <row r="33" spans="1:30" x14ac:dyDescent="0.25">
      <c r="A33" t="s">
        <v>10</v>
      </c>
      <c r="B33" t="s">
        <v>34</v>
      </c>
      <c r="F33">
        <v>172</v>
      </c>
      <c r="G33">
        <v>984</v>
      </c>
      <c r="M33" s="49">
        <v>0.44273329826140279</v>
      </c>
      <c r="N33" s="49"/>
      <c r="O33" s="49"/>
      <c r="P33" s="49"/>
      <c r="Q33" s="49">
        <v>0.22599056448154137</v>
      </c>
      <c r="R33" s="49">
        <v>0.19398159013272837</v>
      </c>
      <c r="S33" s="49"/>
      <c r="T33" s="49"/>
      <c r="U33" s="49"/>
      <c r="V33" s="49"/>
      <c r="W33" s="49" t="s">
        <v>52</v>
      </c>
      <c r="X33" s="49">
        <v>0.37725731409194863</v>
      </c>
      <c r="Y33" s="49"/>
      <c r="Z33" s="49"/>
      <c r="AA33" s="49"/>
      <c r="AB33" s="49">
        <v>8.0503064351378967E-2</v>
      </c>
      <c r="AC33" s="49">
        <v>9.5004582405941659E-2</v>
      </c>
    </row>
    <row r="34" spans="1:30" x14ac:dyDescent="0.25"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</row>
    <row r="35" spans="1:30" x14ac:dyDescent="0.25">
      <c r="F35" s="2">
        <v>289</v>
      </c>
      <c r="G35" s="2">
        <v>2518</v>
      </c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</row>
    <row r="36" spans="1:30" x14ac:dyDescent="0.25">
      <c r="B36" s="2" t="s">
        <v>35</v>
      </c>
      <c r="D36" t="s">
        <v>67</v>
      </c>
      <c r="E36" t="s">
        <v>68</v>
      </c>
      <c r="F36" t="s">
        <v>69</v>
      </c>
      <c r="G36" t="s">
        <v>70</v>
      </c>
      <c r="H36" t="s">
        <v>71</v>
      </c>
      <c r="K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</row>
    <row r="37" spans="1:30" x14ac:dyDescent="0.25">
      <c r="A37" t="s">
        <v>11</v>
      </c>
      <c r="B37" s="69" t="s">
        <v>36</v>
      </c>
      <c r="F37">
        <v>280</v>
      </c>
      <c r="G37" s="53">
        <f>5283*0.82</f>
        <v>4332.0599999999995</v>
      </c>
      <c r="M37" s="49">
        <v>0.45754111233983719</v>
      </c>
      <c r="N37" s="49"/>
      <c r="O37" s="49"/>
      <c r="P37" s="49"/>
      <c r="Q37" s="49">
        <v>0.23608179419525069</v>
      </c>
      <c r="R37" s="49">
        <v>0.20570139993221925</v>
      </c>
      <c r="S37" s="49"/>
      <c r="T37" s="49"/>
      <c r="U37" s="49"/>
      <c r="V37" s="49"/>
      <c r="W37" s="49" t="s">
        <v>52</v>
      </c>
      <c r="X37" s="49">
        <v>0.37763524525524422</v>
      </c>
      <c r="Y37" s="49"/>
      <c r="Z37" s="49"/>
      <c r="AA37" s="49"/>
      <c r="AB37" s="49">
        <v>8.0561761889562725E-2</v>
      </c>
      <c r="AC37" s="49">
        <v>9.488555887498959E-2</v>
      </c>
    </row>
    <row r="38" spans="1:30" x14ac:dyDescent="0.25">
      <c r="B38" s="69"/>
      <c r="G38" s="53"/>
    </row>
    <row r="39" spans="1:30" x14ac:dyDescent="0.25">
      <c r="A39" t="s">
        <v>12</v>
      </c>
      <c r="B39" s="69" t="s">
        <v>37</v>
      </c>
      <c r="F39">
        <v>280</v>
      </c>
      <c r="G39" s="53">
        <f>4271 * 0.82</f>
        <v>3502.22</v>
      </c>
      <c r="M39" s="49">
        <v>0.45733515135132602</v>
      </c>
      <c r="N39" s="49"/>
      <c r="O39" s="49"/>
      <c r="P39" s="49"/>
      <c r="Q39" s="49">
        <v>0.23136297664599548</v>
      </c>
      <c r="R39" s="49">
        <v>0.19994524905163535</v>
      </c>
      <c r="S39" s="49"/>
      <c r="T39" s="49"/>
      <c r="U39" s="49"/>
      <c r="V39" s="49"/>
      <c r="W39" s="49" t="s">
        <v>52</v>
      </c>
      <c r="X39" s="49">
        <v>0.37763524525524422</v>
      </c>
      <c r="Y39" s="49"/>
      <c r="Z39" s="49"/>
      <c r="AA39" s="49"/>
      <c r="AB39" s="49">
        <v>8.0561761889562725E-2</v>
      </c>
      <c r="AC39" s="49">
        <v>9.488555887498959E-2</v>
      </c>
      <c r="AD39" t="s">
        <v>81</v>
      </c>
    </row>
    <row r="40" spans="1:30" x14ac:dyDescent="0.25">
      <c r="B40" s="69"/>
      <c r="G40" s="53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</row>
    <row r="41" spans="1:30" x14ac:dyDescent="0.25">
      <c r="A41" t="s">
        <v>13</v>
      </c>
      <c r="B41" s="69" t="s">
        <v>38</v>
      </c>
      <c r="F41">
        <v>280</v>
      </c>
      <c r="G41" s="53">
        <f>7545*0.82</f>
        <v>6186.9</v>
      </c>
      <c r="M41" s="49">
        <v>0.45808045090651511</v>
      </c>
      <c r="N41" s="49"/>
      <c r="O41" s="49"/>
      <c r="P41" s="49"/>
      <c r="Q41" s="49">
        <v>0.24652113697817052</v>
      </c>
      <c r="R41" s="49">
        <v>0.21859525671097207</v>
      </c>
      <c r="S41" s="49"/>
      <c r="T41" s="49"/>
      <c r="U41" s="49"/>
      <c r="V41" s="49"/>
      <c r="W41" s="49" t="s">
        <v>52</v>
      </c>
      <c r="X41" s="49">
        <v>0.37765160476303128</v>
      </c>
      <c r="Y41" s="49"/>
      <c r="Z41" s="49"/>
      <c r="AA41" s="49"/>
      <c r="AB41" s="49">
        <v>8.0566905005107256E-2</v>
      </c>
      <c r="AC41" s="49">
        <v>9.488555887498959E-2</v>
      </c>
    </row>
    <row r="42" spans="1:30" x14ac:dyDescent="0.25">
      <c r="B42" s="69"/>
      <c r="G42" s="53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</row>
    <row r="43" spans="1:30" x14ac:dyDescent="0.25">
      <c r="A43" t="s">
        <v>14</v>
      </c>
      <c r="B43" s="69" t="s">
        <v>39</v>
      </c>
      <c r="F43">
        <v>611</v>
      </c>
      <c r="G43" s="53">
        <f>7545 * 0.82</f>
        <v>6186.9</v>
      </c>
      <c r="M43" s="49">
        <v>0.45811226918602677</v>
      </c>
      <c r="N43" s="49"/>
      <c r="O43" s="49"/>
      <c r="P43" s="49"/>
      <c r="Q43" s="49">
        <v>0.24649629018961253</v>
      </c>
      <c r="R43" s="49">
        <v>0.2186213187385978</v>
      </c>
      <c r="S43" s="49"/>
      <c r="T43" s="49"/>
      <c r="U43" s="49"/>
      <c r="V43" s="49"/>
      <c r="W43" s="49" t="s">
        <v>52</v>
      </c>
      <c r="X43" s="49">
        <v>0.37831515310816144</v>
      </c>
      <c r="Y43" s="49"/>
      <c r="Z43" s="49"/>
      <c r="AA43" s="49"/>
      <c r="AB43" s="49">
        <v>8.0566905005107256E-2</v>
      </c>
      <c r="AC43" s="49">
        <v>9.489746122808479E-2</v>
      </c>
    </row>
    <row r="44" spans="1:30" x14ac:dyDescent="0.25">
      <c r="B44" s="69"/>
      <c r="F44" s="54" t="s">
        <v>82</v>
      </c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</row>
    <row r="45" spans="1:30" x14ac:dyDescent="0.25">
      <c r="A45" t="s">
        <v>94</v>
      </c>
      <c r="B45" s="60" t="s">
        <v>96</v>
      </c>
      <c r="F45" s="61">
        <v>417</v>
      </c>
      <c r="G45" s="53">
        <f>4271 * 0.82</f>
        <v>3502.22</v>
      </c>
      <c r="M45" s="49">
        <v>0.45747275288874573</v>
      </c>
      <c r="N45" s="49"/>
      <c r="O45" s="49"/>
      <c r="P45" s="49"/>
      <c r="Q45" s="49">
        <v>0.23137060860959918</v>
      </c>
      <c r="R45" s="49">
        <v>0.19994785555990091</v>
      </c>
      <c r="S45" s="49"/>
      <c r="T45" s="49"/>
      <c r="U45" s="49"/>
      <c r="V45" s="49"/>
      <c r="W45" s="49" t="s">
        <v>52</v>
      </c>
      <c r="X45" s="49">
        <v>0.37791446521041977</v>
      </c>
      <c r="Y45" s="49"/>
      <c r="Z45" s="49"/>
      <c r="AA45" s="49"/>
      <c r="AB45" s="49">
        <v>8.0561761889562725E-2</v>
      </c>
      <c r="AC45" s="49">
        <v>9.488555887498959E-2</v>
      </c>
    </row>
    <row r="46" spans="1:30" x14ac:dyDescent="0.25">
      <c r="A46" t="s">
        <v>95</v>
      </c>
      <c r="B46" s="60" t="s">
        <v>97</v>
      </c>
      <c r="F46" s="61">
        <v>417</v>
      </c>
      <c r="G46">
        <v>7545</v>
      </c>
      <c r="M46" s="49">
        <v>0.45819243519532771</v>
      </c>
      <c r="N46" s="49"/>
      <c r="O46" s="49"/>
      <c r="P46" s="49"/>
      <c r="Q46" s="49">
        <v>0.25413781734256513</v>
      </c>
      <c r="R46" s="49">
        <v>0.2280372614161944</v>
      </c>
      <c r="S46" s="49"/>
      <c r="T46" s="49"/>
      <c r="U46" s="49"/>
      <c r="V46" s="49"/>
      <c r="W46" s="49" t="s">
        <v>52</v>
      </c>
      <c r="X46" s="49">
        <v>0.37792439934808902</v>
      </c>
      <c r="Y46" s="49"/>
      <c r="Z46" s="49"/>
      <c r="AA46" s="49"/>
      <c r="AB46" s="49">
        <v>8.0566905005107256E-2</v>
      </c>
      <c r="AC46" s="49">
        <v>9.488555887498959E-2</v>
      </c>
    </row>
    <row r="47" spans="1:30" x14ac:dyDescent="0.25">
      <c r="E47" s="2">
        <v>1224</v>
      </c>
      <c r="F47" s="2">
        <v>2718</v>
      </c>
      <c r="G47" s="2">
        <v>5873</v>
      </c>
      <c r="I47" t="s">
        <v>83</v>
      </c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</row>
    <row r="48" spans="1:30" x14ac:dyDescent="0.25">
      <c r="B48" s="2" t="s">
        <v>40</v>
      </c>
      <c r="D48" t="s">
        <v>67</v>
      </c>
      <c r="E48" t="s">
        <v>68</v>
      </c>
      <c r="F48" t="s">
        <v>69</v>
      </c>
      <c r="G48" t="s">
        <v>70</v>
      </c>
      <c r="H48" t="s">
        <v>71</v>
      </c>
      <c r="I48" t="s">
        <v>70</v>
      </c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</row>
    <row r="49" spans="1:29" x14ac:dyDescent="0.25">
      <c r="A49" t="s">
        <v>15</v>
      </c>
      <c r="B49" t="s">
        <v>41</v>
      </c>
      <c r="F49" t="s">
        <v>84</v>
      </c>
      <c r="G49" s="55" t="s">
        <v>85</v>
      </c>
      <c r="I49" s="56">
        <v>2235</v>
      </c>
      <c r="J49" t="s">
        <v>72</v>
      </c>
      <c r="K49" t="s">
        <v>86</v>
      </c>
      <c r="M49" s="49">
        <v>0.46142857788758235</v>
      </c>
      <c r="N49" s="49"/>
      <c r="O49" s="49"/>
      <c r="P49" s="49"/>
      <c r="Q49" s="49">
        <v>0.23260647247055721</v>
      </c>
      <c r="R49" s="49">
        <v>0.20100902122334047</v>
      </c>
      <c r="S49" s="49"/>
      <c r="T49" s="49"/>
      <c r="U49" s="49"/>
      <c r="V49" s="49"/>
      <c r="W49" s="49" t="s">
        <v>52</v>
      </c>
      <c r="X49" s="49">
        <v>0.39122894605460229</v>
      </c>
      <c r="Y49" s="49"/>
      <c r="Z49" s="49"/>
      <c r="AA49" s="49"/>
      <c r="AB49" s="49">
        <v>8.1332992849846797E-2</v>
      </c>
      <c r="AC49" s="49">
        <v>9.5359382996703129E-2</v>
      </c>
    </row>
    <row r="50" spans="1:29" x14ac:dyDescent="0.25">
      <c r="G50" s="55" t="s">
        <v>87</v>
      </c>
      <c r="I50" s="56">
        <v>8679</v>
      </c>
      <c r="J50" t="s">
        <v>73</v>
      </c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</row>
    <row r="51" spans="1:29" x14ac:dyDescent="0.25">
      <c r="A51" t="s">
        <v>16</v>
      </c>
      <c r="B51" t="s">
        <v>42</v>
      </c>
      <c r="F51" t="s">
        <v>88</v>
      </c>
      <c r="G51" t="s">
        <v>89</v>
      </c>
      <c r="M51" s="49">
        <v>0.45533262412319114</v>
      </c>
      <c r="N51" s="49"/>
      <c r="O51" s="49"/>
      <c r="P51" s="49"/>
      <c r="Q51" s="49">
        <v>0.22412143210691304</v>
      </c>
      <c r="R51" s="49">
        <v>0.19211912585406563</v>
      </c>
      <c r="S51" s="49"/>
      <c r="T51" s="49"/>
      <c r="U51" s="49"/>
      <c r="V51" s="49"/>
      <c r="W51" s="49" t="s">
        <v>52</v>
      </c>
      <c r="X51" s="49">
        <v>0.37355415352260779</v>
      </c>
      <c r="Y51" s="49"/>
      <c r="Z51" s="49"/>
      <c r="AA51" s="49"/>
      <c r="AB51" s="49">
        <v>8.0247701736465796E-2</v>
      </c>
      <c r="AC51" s="49">
        <v>9.476653534403752E-2</v>
      </c>
    </row>
    <row r="52" spans="1:29" x14ac:dyDescent="0.25"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</row>
    <row r="53" spans="1:29" x14ac:dyDescent="0.25">
      <c r="A53" t="s">
        <v>17</v>
      </c>
      <c r="B53" t="s">
        <v>43</v>
      </c>
      <c r="F53" t="s">
        <v>88</v>
      </c>
      <c r="G53" t="s">
        <v>90</v>
      </c>
      <c r="I53">
        <v>2695</v>
      </c>
      <c r="J53" t="s">
        <v>72</v>
      </c>
      <c r="M53" s="49">
        <v>0.45991901801410268</v>
      </c>
      <c r="N53" s="49"/>
      <c r="O53" s="49"/>
      <c r="P53" s="49"/>
      <c r="Q53" s="49">
        <v>0.23056875164951174</v>
      </c>
      <c r="R53" s="49">
        <v>0.1988266736197119</v>
      </c>
      <c r="S53" s="49"/>
      <c r="T53" s="49"/>
      <c r="U53" s="49"/>
      <c r="V53" s="49"/>
      <c r="W53" s="49" t="s">
        <v>52</v>
      </c>
      <c r="X53" s="49">
        <v>0.38689162199095972</v>
      </c>
      <c r="Y53" s="49"/>
      <c r="Z53" s="49"/>
      <c r="AA53" s="49"/>
      <c r="AB53" s="49">
        <v>8.1136291094797322E-2</v>
      </c>
      <c r="AC53" s="49">
        <v>9.5205789235639979E-2</v>
      </c>
    </row>
    <row r="54" spans="1:29" x14ac:dyDescent="0.25">
      <c r="G54" t="s">
        <v>91</v>
      </c>
      <c r="I54">
        <v>6507</v>
      </c>
      <c r="J54" t="s">
        <v>73</v>
      </c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</row>
    <row r="55" spans="1:29" x14ac:dyDescent="0.25">
      <c r="A55" t="s">
        <v>92</v>
      </c>
      <c r="B55" s="62" t="s">
        <v>93</v>
      </c>
      <c r="J55" t="s">
        <v>71</v>
      </c>
    </row>
    <row r="56" spans="1:29" x14ac:dyDescent="0.25">
      <c r="J56" s="53">
        <f>624*0.83</f>
        <v>517.91999999999996</v>
      </c>
      <c r="M56" s="49">
        <v>0.45727442032472687</v>
      </c>
      <c r="N56" s="49"/>
      <c r="O56" s="49"/>
      <c r="P56" s="49"/>
      <c r="Q56" s="49">
        <v>0.22642692180798418</v>
      </c>
      <c r="R56" s="49">
        <v>0.19446400166888314</v>
      </c>
      <c r="S56" s="49"/>
      <c r="T56" s="49"/>
      <c r="U56" s="49"/>
      <c r="V56" s="49"/>
      <c r="W56" s="49" t="s">
        <v>52</v>
      </c>
      <c r="X56" s="49">
        <v>0.37908101571946795</v>
      </c>
      <c r="Y56" s="49"/>
      <c r="Z56" s="49"/>
      <c r="AA56" s="49"/>
      <c r="AB56" s="49">
        <v>8.0620451934124857E-2</v>
      </c>
      <c r="AC56" s="49">
        <v>9.4850980765568457E-2</v>
      </c>
    </row>
  </sheetData>
  <mergeCells count="5">
    <mergeCell ref="B25:B26"/>
    <mergeCell ref="B37:B38"/>
    <mergeCell ref="B39:B40"/>
    <mergeCell ref="B41:B42"/>
    <mergeCell ref="B43:B4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workbookViewId="0">
      <selection activeCell="E27" sqref="E27"/>
    </sheetView>
  </sheetViews>
  <sheetFormatPr defaultRowHeight="15" x14ac:dyDescent="0.25"/>
  <sheetData>
    <row r="1" spans="1:7" x14ac:dyDescent="0.25"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18</v>
      </c>
    </row>
    <row r="2" spans="1:7" x14ac:dyDescent="0.25">
      <c r="A2" t="s">
        <v>0</v>
      </c>
      <c r="B2">
        <v>0.4562712220617901</v>
      </c>
      <c r="C2">
        <v>0.22504866541291363</v>
      </c>
      <c r="D2">
        <v>0.19301928367471999</v>
      </c>
      <c r="E2">
        <v>0.37606792671065431</v>
      </c>
      <c r="F2">
        <v>7.7630234933605741E-2</v>
      </c>
      <c r="G2">
        <v>9.3541706341649211E-2</v>
      </c>
    </row>
    <row r="3" spans="1:7" x14ac:dyDescent="0.25">
      <c r="A3" t="s">
        <v>1</v>
      </c>
      <c r="B3">
        <v>0.45931244305217284</v>
      </c>
      <c r="C3">
        <v>0.22805107393843416</v>
      </c>
      <c r="D3">
        <v>0.19619295958279009</v>
      </c>
      <c r="E3">
        <v>0.38221147528057409</v>
      </c>
      <c r="F3">
        <v>8.635986468373015E-2</v>
      </c>
      <c r="G3">
        <v>9.8243400852117205E-2</v>
      </c>
    </row>
    <row r="4" spans="1:7" x14ac:dyDescent="0.25">
      <c r="A4" t="s">
        <v>2</v>
      </c>
      <c r="B4">
        <v>0.45993183791725162</v>
      </c>
      <c r="C4">
        <v>0.22852052263428799</v>
      </c>
      <c r="D4">
        <v>0.19673541759015412</v>
      </c>
      <c r="E4">
        <v>0.38316381508055403</v>
      </c>
      <c r="F4">
        <v>8.7758488639264734E-2</v>
      </c>
      <c r="G4">
        <v>9.8981267702853884E-2</v>
      </c>
    </row>
    <row r="5" spans="1:7" x14ac:dyDescent="0.25">
      <c r="A5" t="s">
        <v>3</v>
      </c>
      <c r="B5">
        <v>0.46027269421837791</v>
      </c>
      <c r="C5">
        <v>0.22914261208062547</v>
      </c>
      <c r="D5">
        <v>0.19726738197984431</v>
      </c>
      <c r="E5">
        <v>0.38408977425034824</v>
      </c>
      <c r="F5">
        <v>8.921506062539887E-2</v>
      </c>
      <c r="G5">
        <v>9.9728661874613225E-2</v>
      </c>
    </row>
    <row r="6" spans="1:7" x14ac:dyDescent="0.25">
      <c r="A6" t="s">
        <v>4</v>
      </c>
      <c r="B6">
        <v>0.45688333916387486</v>
      </c>
      <c r="C6">
        <v>0.22527218739689869</v>
      </c>
      <c r="D6">
        <v>0.19323041618858872</v>
      </c>
      <c r="E6">
        <v>0.37627822612444467</v>
      </c>
      <c r="F6">
        <v>7.8715526046986728E-2</v>
      </c>
      <c r="G6">
        <v>9.3851171205484668E-2</v>
      </c>
    </row>
    <row r="7" spans="1:7" x14ac:dyDescent="0.25">
      <c r="A7" t="s">
        <v>5</v>
      </c>
      <c r="B7">
        <v>0.45875694070294276</v>
      </c>
      <c r="C7">
        <v>0.22735070933685247</v>
      </c>
      <c r="D7">
        <v>0.19545235270342509</v>
      </c>
      <c r="E7">
        <v>0.38012510513036163</v>
      </c>
      <c r="F7">
        <v>8.425352652071233E-2</v>
      </c>
      <c r="G7">
        <v>9.692699531075194E-2</v>
      </c>
    </row>
    <row r="8" spans="1:7" x14ac:dyDescent="0.25">
      <c r="A8" t="s">
        <v>6</v>
      </c>
      <c r="B8">
        <v>0.45924839888966118</v>
      </c>
      <c r="C8">
        <v>0.22780508726205007</v>
      </c>
      <c r="D8">
        <v>0.19589564401100407</v>
      </c>
      <c r="E8">
        <v>0.38086727989487523</v>
      </c>
      <c r="F8">
        <v>8.5333163135052334E-2</v>
      </c>
      <c r="G8">
        <v>9.7520916891803436E-2</v>
      </c>
    </row>
    <row r="9" spans="1:7" x14ac:dyDescent="0.25">
      <c r="A9" t="s">
        <v>7</v>
      </c>
      <c r="B9">
        <v>0.45994734192206449</v>
      </c>
      <c r="C9">
        <v>0.2282339744647158</v>
      </c>
      <c r="D9">
        <v>0.19635733096920549</v>
      </c>
      <c r="E9">
        <v>0.3815768725361367</v>
      </c>
      <c r="F9">
        <v>8.635986468373015E-2</v>
      </c>
      <c r="G9">
        <v>9.811482433590403E-2</v>
      </c>
    </row>
    <row r="10" spans="1:7" x14ac:dyDescent="0.25">
      <c r="A10" t="s">
        <v>8</v>
      </c>
      <c r="B10">
        <v>0.45954430931657225</v>
      </c>
      <c r="C10">
        <v>0.22671637359374483</v>
      </c>
      <c r="D10">
        <v>0.19476133978278726</v>
      </c>
      <c r="E10">
        <v>0.37822989774728594</v>
      </c>
      <c r="F10">
        <v>8.0503064351378967E-2</v>
      </c>
      <c r="G10">
        <v>0.10476836480906311</v>
      </c>
    </row>
    <row r="11" spans="1:7" x14ac:dyDescent="0.25">
      <c r="A11" t="s">
        <v>9</v>
      </c>
      <c r="B11">
        <v>0.4589797358688813</v>
      </c>
      <c r="C11">
        <v>0.22671637359374483</v>
      </c>
      <c r="D11">
        <v>0.19474830180315258</v>
      </c>
      <c r="E11">
        <v>0.37816738513300385</v>
      </c>
      <c r="F11">
        <v>8.0503064351378967E-2</v>
      </c>
      <c r="G11">
        <v>0.10400104726995764</v>
      </c>
    </row>
    <row r="12" spans="1:7" x14ac:dyDescent="0.25">
      <c r="A12" t="s">
        <v>10</v>
      </c>
      <c r="B12">
        <v>0.44273329826140279</v>
      </c>
      <c r="C12">
        <v>0.22599056448154137</v>
      </c>
      <c r="D12">
        <v>0.19398159013272837</v>
      </c>
      <c r="E12">
        <v>0.37725731409194863</v>
      </c>
      <c r="F12">
        <v>8.0503064351378967E-2</v>
      </c>
      <c r="G12">
        <v>9.5004582405941659E-2</v>
      </c>
    </row>
    <row r="13" spans="1:7" x14ac:dyDescent="0.25">
      <c r="A13" t="s">
        <v>11</v>
      </c>
      <c r="B13">
        <v>0.45754111233983719</v>
      </c>
      <c r="C13">
        <v>0.23608179419525069</v>
      </c>
      <c r="D13">
        <v>0.20570139993221925</v>
      </c>
      <c r="E13">
        <v>0.37763524525524422</v>
      </c>
      <c r="F13">
        <v>8.0561761889562725E-2</v>
      </c>
      <c r="G13">
        <v>9.488555887498959E-2</v>
      </c>
    </row>
    <row r="14" spans="1:7" x14ac:dyDescent="0.25">
      <c r="A14" t="s">
        <v>12</v>
      </c>
      <c r="B14">
        <v>0.45733515135132602</v>
      </c>
      <c r="C14">
        <v>0.23136297664599548</v>
      </c>
      <c r="D14">
        <v>0.19994524905163535</v>
      </c>
      <c r="E14">
        <v>0.37763524525524422</v>
      </c>
      <c r="F14">
        <v>8.0561761889562725E-2</v>
      </c>
      <c r="G14">
        <v>9.488555887498959E-2</v>
      </c>
    </row>
    <row r="15" spans="1:7" x14ac:dyDescent="0.25">
      <c r="A15" t="s">
        <v>13</v>
      </c>
      <c r="B15">
        <v>0.45808045090651511</v>
      </c>
      <c r="C15">
        <v>0.24652113697817052</v>
      </c>
      <c r="D15">
        <v>0.21859525671097207</v>
      </c>
      <c r="E15">
        <v>0.37765160476303128</v>
      </c>
      <c r="F15">
        <v>8.0566905005107256E-2</v>
      </c>
      <c r="G15">
        <v>9.488555887498959E-2</v>
      </c>
    </row>
    <row r="16" spans="1:7" x14ac:dyDescent="0.25">
      <c r="A16" t="s">
        <v>14</v>
      </c>
      <c r="B16">
        <v>0.45804309518007685</v>
      </c>
      <c r="C16">
        <v>0.24649629018961253</v>
      </c>
      <c r="D16">
        <v>0.2186213187385978</v>
      </c>
      <c r="E16">
        <v>0.378315153108161</v>
      </c>
      <c r="F16">
        <v>8.0566905005107256E-2</v>
      </c>
      <c r="G16">
        <v>9.489746122808479E-2</v>
      </c>
    </row>
    <row r="17" spans="1:7" x14ac:dyDescent="0.25">
      <c r="A17" t="s">
        <v>15</v>
      </c>
      <c r="B17">
        <v>0.46142857788758235</v>
      </c>
      <c r="C17">
        <v>0.23260647247055721</v>
      </c>
      <c r="D17">
        <v>0.20100902122334047</v>
      </c>
      <c r="E17">
        <v>0.39122894605460229</v>
      </c>
      <c r="F17">
        <v>8.1332992849846797E-2</v>
      </c>
      <c r="G17">
        <v>9.5359382996703129E-2</v>
      </c>
    </row>
    <row r="18" spans="1:7" x14ac:dyDescent="0.25">
      <c r="A18" t="s">
        <v>16</v>
      </c>
      <c r="B18">
        <v>0.45314191316112168</v>
      </c>
      <c r="C18">
        <v>0.22412143210691304</v>
      </c>
      <c r="D18">
        <v>0.19211912585406563</v>
      </c>
      <c r="E18">
        <v>0.37355415352260779</v>
      </c>
      <c r="F18">
        <v>8.0247701736465796E-2</v>
      </c>
      <c r="G18">
        <v>9.476653534403752E-2</v>
      </c>
    </row>
    <row r="19" spans="1:7" x14ac:dyDescent="0.25">
      <c r="A19" t="s">
        <v>17</v>
      </c>
      <c r="B19">
        <v>0.45991901801410268</v>
      </c>
      <c r="C19">
        <v>0.23056875164951174</v>
      </c>
      <c r="D19">
        <v>0.1988266736197119</v>
      </c>
      <c r="E19">
        <v>0.38689162199095972</v>
      </c>
      <c r="F19">
        <v>8.1136291094797322E-2</v>
      </c>
      <c r="G19">
        <v>9.5205789235639979E-2</v>
      </c>
    </row>
    <row r="20" spans="1:7" x14ac:dyDescent="0.25">
      <c r="A20" t="s">
        <v>98</v>
      </c>
      <c r="B20">
        <v>0.45829993929987045</v>
      </c>
      <c r="C20">
        <v>0.22612999010227647</v>
      </c>
      <c r="D20">
        <v>0.19416159271959216</v>
      </c>
      <c r="E20">
        <v>0.37769424876458835</v>
      </c>
      <c r="F20">
        <v>8.04443593181383E-2</v>
      </c>
      <c r="G20">
        <v>9.8042249330556386E-2</v>
      </c>
    </row>
    <row r="21" spans="1:7" x14ac:dyDescent="0.25">
      <c r="A21" t="s">
        <v>99</v>
      </c>
      <c r="B21">
        <v>0.45927063493317194</v>
      </c>
      <c r="C21">
        <v>0.22647796252309318</v>
      </c>
      <c r="D21">
        <v>0.19449804432855278</v>
      </c>
      <c r="E21">
        <v>0.37800325955522845</v>
      </c>
      <c r="F21">
        <v>8.0503064351378967E-2</v>
      </c>
      <c r="G21">
        <v>0.10220037843176923</v>
      </c>
    </row>
    <row r="22" spans="1:7" x14ac:dyDescent="0.25">
      <c r="A22" t="s">
        <v>94</v>
      </c>
      <c r="B22">
        <v>0.45747275288874573</v>
      </c>
      <c r="C22">
        <v>0.23137060860959918</v>
      </c>
      <c r="D22">
        <v>0.19994785555990091</v>
      </c>
      <c r="E22">
        <v>0.37791446521041977</v>
      </c>
      <c r="F22">
        <v>8.0561761889562725E-2</v>
      </c>
      <c r="G22">
        <v>9.488555887498959E-2</v>
      </c>
    </row>
    <row r="23" spans="1:7" x14ac:dyDescent="0.25">
      <c r="A23" t="s">
        <v>95</v>
      </c>
      <c r="B23">
        <v>0.45819243519532771</v>
      </c>
      <c r="C23">
        <v>0.25413781734256513</v>
      </c>
      <c r="D23">
        <v>0.2280372614161944</v>
      </c>
      <c r="E23">
        <v>0.37792439934808902</v>
      </c>
      <c r="F23">
        <v>8.0566905005107256E-2</v>
      </c>
      <c r="G23">
        <v>9.488555887498959E-2</v>
      </c>
    </row>
    <row r="24" spans="1:7" x14ac:dyDescent="0.25">
      <c r="A24" t="s">
        <v>92</v>
      </c>
      <c r="B24">
        <v>0.45727442032472687</v>
      </c>
      <c r="C24">
        <v>0.22642692180798418</v>
      </c>
      <c r="D24">
        <v>0.19446400166888314</v>
      </c>
      <c r="E24">
        <v>0.37908101571946795</v>
      </c>
      <c r="F24">
        <v>8.0620451934124857E-2</v>
      </c>
      <c r="G24">
        <v>9.4850980765568457E-2</v>
      </c>
    </row>
    <row r="25" spans="1:7" x14ac:dyDescent="0.25">
      <c r="A25" t="s">
        <v>102</v>
      </c>
      <c r="B25">
        <v>0.45831582362479029</v>
      </c>
      <c r="C25">
        <v>0.226675903932436</v>
      </c>
      <c r="D25">
        <v>0.194730186047118</v>
      </c>
      <c r="E25">
        <v>0.38537149465163345</v>
      </c>
      <c r="F25">
        <v>8.1062105061594447E-2</v>
      </c>
      <c r="G25">
        <v>9.5041420681774902E-2</v>
      </c>
    </row>
    <row r="26" spans="1:7" x14ac:dyDescent="0.25">
      <c r="A26" t="s">
        <v>105</v>
      </c>
      <c r="B26">
        <f>SUM(ERSUSSK)</f>
        <v>0.45731323307815575</v>
      </c>
      <c r="C26">
        <f>SUM(ERSUSST)</f>
        <v>0.22615552109795123</v>
      </c>
      <c r="D26">
        <f>SUM(ERSUSSN)</f>
        <v>0.19413804792823802</v>
      </c>
      <c r="E26">
        <f>SUM(ERSUSHC)</f>
        <v>0.37750381157667839</v>
      </c>
      <c r="F26">
        <f>SUM(ERSUSJDF)</f>
        <v>8.0439223697650677E-2</v>
      </c>
      <c r="G26">
        <v>9.6339939296554183E-2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Proposal</vt:lpstr>
      <vt:lpstr>Inputs</vt:lpstr>
      <vt:lpstr>Runs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Garber, Tyler J (DFW)</dc:creator>
  <cp:lastModifiedBy>Garber, Tyler J (DFW)</cp:lastModifiedBy>
  <dcterms:created xsi:type="dcterms:W3CDTF">2015-06-05T18:17:20Z</dcterms:created>
  <dcterms:modified xsi:type="dcterms:W3CDTF">2023-03-15T16:29:40Z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5011977-b912-4387-97a4-f4c94a801377_Enabled">
    <vt:lpwstr>true</vt:lpwstr>
  </property>
  <property fmtid="{D5CDD505-2E9C-101B-9397-08002B2CF9AE}" pid="3" name="MSIP_Label_45011977-b912-4387-97a4-f4c94a801377_SetDate">
    <vt:lpwstr>2023-03-13T17:45:26Z</vt:lpwstr>
  </property>
  <property fmtid="{D5CDD505-2E9C-101B-9397-08002B2CF9AE}" pid="4" name="MSIP_Label_45011977-b912-4387-97a4-f4c94a801377_Method">
    <vt:lpwstr>Standard</vt:lpwstr>
  </property>
  <property fmtid="{D5CDD505-2E9C-101B-9397-08002B2CF9AE}" pid="5" name="MSIP_Label_45011977-b912-4387-97a4-f4c94a801377_Name">
    <vt:lpwstr>Uncategorized Data</vt:lpwstr>
  </property>
  <property fmtid="{D5CDD505-2E9C-101B-9397-08002B2CF9AE}" pid="6" name="MSIP_Label_45011977-b912-4387-97a4-f4c94a801377_SiteId">
    <vt:lpwstr>11d0e217-264e-400a-8ba0-57dcc127d72d</vt:lpwstr>
  </property>
  <property fmtid="{D5CDD505-2E9C-101B-9397-08002B2CF9AE}" pid="7" name="MSIP_Label_45011977-b912-4387-97a4-f4c94a801377_ActionId">
    <vt:lpwstr>5514f2d7-efa1-405a-a875-71ceac94ca97</vt:lpwstr>
  </property>
  <property fmtid="{D5CDD505-2E9C-101B-9397-08002B2CF9AE}" pid="8" name="MSIP_Label_45011977-b912-4387-97a4-f4c94a801377_ContentBits">
    <vt:lpwstr>0</vt:lpwstr>
  </property>
</Properties>
</file>